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PC 5\Desktop\DOCUMENTOS ANA\"/>
    </mc:Choice>
  </mc:AlternateContent>
  <bookViews>
    <workbookView xWindow="0" yWindow="0" windowWidth="15360" windowHeight="7755" tabRatio="500" activeTab="7"/>
  </bookViews>
  <sheets>
    <sheet name="V. ENTRADA" sheetId="7" r:id="rId1"/>
    <sheet name="DEPRECIACIONES" sheetId="8" r:id="rId2"/>
    <sheet name="PRESUPUESTOS" sheetId="1" r:id="rId3"/>
    <sheet name="ESTADO RESULT" sheetId="2" r:id="rId4"/>
    <sheet name="FLUJO TESORERÍA" sheetId="9" r:id="rId5"/>
    <sheet name="ESTADO DE SITUACION (BALANCE)" sheetId="6" r:id="rId6"/>
    <sheet name="FLUJO DE CAJA LIBRE" sheetId="4" r:id="rId7"/>
    <sheet name="DESEMPEÑO OPERATIVO" sheetId="10" r:id="rId8"/>
    <sheet name="TABLA AMORT" sheetId="3" r:id="rId9"/>
    <sheet name="WACC" sheetId="5" r:id="rId10"/>
    <sheet name="Hoja1" sheetId="13" r:id="rId11"/>
    <sheet name="Hoja2" sheetId="12" r:id="rId12"/>
  </sheets>
  <definedNames>
    <definedName name="COMISIONES">'ESTADO RESULT'!$B$34</definedName>
    <definedName name="CRECIMIENTOVENTAS">'ESTADO RESULT'!$B$38</definedName>
    <definedName name="OTROSCOSTOSVENTAS">'ESTADO RESULT'!$B$29</definedName>
    <definedName name="OTROSGASTOS">'ESTADO RESULT'!$B$40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7" l="1"/>
  <c r="C4" i="6"/>
  <c r="D1" i="7"/>
  <c r="D4" i="6"/>
  <c r="E1" i="7"/>
  <c r="E4" i="6"/>
  <c r="F1" i="7"/>
  <c r="F4" i="6"/>
  <c r="G1" i="7"/>
  <c r="G4" i="6"/>
  <c r="B1" i="7"/>
  <c r="B4" i="6"/>
  <c r="C4" i="4"/>
  <c r="D4" i="4"/>
  <c r="E4" i="4"/>
  <c r="F4" i="4"/>
  <c r="G4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B11" i="4"/>
  <c r="C11" i="4"/>
  <c r="D11" i="4"/>
  <c r="E11" i="4"/>
  <c r="F11" i="4"/>
  <c r="G11" i="4"/>
  <c r="B13" i="4"/>
  <c r="C13" i="4"/>
  <c r="D13" i="4"/>
  <c r="E13" i="4"/>
  <c r="F13" i="4"/>
  <c r="G13" i="4"/>
  <c r="B17" i="4"/>
  <c r="C17" i="4"/>
  <c r="D17" i="4"/>
  <c r="E17" i="4"/>
  <c r="F17" i="4"/>
  <c r="G17" i="4"/>
  <c r="C18" i="4"/>
  <c r="C19" i="4"/>
  <c r="D18" i="4"/>
  <c r="D19" i="4"/>
  <c r="E18" i="4"/>
  <c r="E19" i="4"/>
  <c r="F18" i="4"/>
  <c r="F19" i="4"/>
  <c r="G18" i="4"/>
  <c r="G19" i="4"/>
  <c r="B24" i="4"/>
  <c r="C24" i="4"/>
  <c r="D24" i="4"/>
  <c r="E24" i="4"/>
  <c r="F24" i="4"/>
  <c r="G24" i="4"/>
  <c r="B30" i="4"/>
  <c r="C30" i="4"/>
  <c r="D30" i="4"/>
  <c r="E30" i="4"/>
  <c r="F30" i="4"/>
  <c r="G30" i="4"/>
  <c r="G33" i="4"/>
  <c r="G34" i="4"/>
  <c r="G41" i="4"/>
  <c r="G42" i="4"/>
  <c r="G46" i="4"/>
  <c r="F47" i="4"/>
  <c r="A57" i="4"/>
  <c r="B57" i="4"/>
  <c r="C57" i="4"/>
  <c r="D57" i="4"/>
  <c r="E57" i="4"/>
  <c r="F57" i="4"/>
  <c r="G57" i="4"/>
  <c r="B59" i="4"/>
  <c r="C59" i="4"/>
  <c r="D59" i="4"/>
  <c r="E59" i="4"/>
  <c r="F59" i="4"/>
  <c r="G59" i="4"/>
  <c r="B61" i="4"/>
  <c r="B62" i="4"/>
  <c r="B65" i="4"/>
  <c r="B66" i="4"/>
  <c r="B63" i="4"/>
  <c r="B67" i="4"/>
  <c r="B70" i="4"/>
  <c r="C70" i="4"/>
  <c r="D70" i="4"/>
  <c r="E70" i="4"/>
  <c r="F70" i="4"/>
  <c r="G70" i="4"/>
  <c r="B72" i="4"/>
  <c r="C72" i="4"/>
  <c r="D72" i="4"/>
  <c r="E72" i="4"/>
  <c r="F72" i="4"/>
  <c r="G72" i="4"/>
  <c r="B74" i="4"/>
  <c r="B75" i="4"/>
  <c r="B78" i="4"/>
  <c r="B79" i="4"/>
  <c r="B76" i="4"/>
  <c r="B80" i="4"/>
  <c r="B83" i="4"/>
  <c r="C83" i="4"/>
  <c r="D83" i="4"/>
  <c r="E83" i="4"/>
  <c r="F83" i="4"/>
  <c r="G83" i="4"/>
  <c r="B85" i="4"/>
  <c r="C85" i="4"/>
  <c r="D85" i="4"/>
  <c r="E85" i="4"/>
  <c r="F85" i="4"/>
  <c r="F86" i="4"/>
  <c r="B87" i="4"/>
  <c r="C87" i="4"/>
  <c r="D87" i="4"/>
  <c r="E87" i="4"/>
  <c r="F87" i="4"/>
  <c r="B89" i="4"/>
  <c r="B90" i="4"/>
  <c r="B93" i="4"/>
  <c r="B94" i="4"/>
  <c r="B91" i="4"/>
  <c r="B95" i="4"/>
  <c r="I3" i="1"/>
  <c r="C18" i="7"/>
  <c r="J3" i="1"/>
  <c r="D18" i="7"/>
  <c r="K3" i="1"/>
  <c r="E4" i="7"/>
  <c r="E18" i="7"/>
  <c r="L3" i="1"/>
  <c r="F2" i="7"/>
  <c r="F4" i="7"/>
  <c r="F18" i="7"/>
  <c r="M3" i="1"/>
  <c r="I4" i="1"/>
  <c r="J4" i="1"/>
  <c r="K4" i="1"/>
  <c r="L4" i="1"/>
  <c r="M4" i="1"/>
  <c r="I5" i="1"/>
  <c r="J5" i="1"/>
  <c r="K5" i="1"/>
  <c r="L5" i="1"/>
  <c r="M5" i="1"/>
  <c r="I6" i="1"/>
  <c r="J6" i="1"/>
  <c r="K6" i="1"/>
  <c r="L6" i="1"/>
  <c r="M6" i="1"/>
  <c r="I7" i="1"/>
  <c r="J7" i="1"/>
  <c r="K7" i="1"/>
  <c r="L7" i="1"/>
  <c r="M7" i="1"/>
  <c r="M8" i="1"/>
  <c r="G5" i="2"/>
  <c r="I12" i="1"/>
  <c r="C19" i="7"/>
  <c r="J12" i="1"/>
  <c r="D19" i="7"/>
  <c r="K12" i="1"/>
  <c r="E3" i="7"/>
  <c r="E19" i="7"/>
  <c r="L12" i="1"/>
  <c r="F3" i="7"/>
  <c r="F19" i="7"/>
  <c r="M12" i="1"/>
  <c r="I13" i="1"/>
  <c r="J13" i="1"/>
  <c r="K13" i="1"/>
  <c r="L13" i="1"/>
  <c r="M13" i="1"/>
  <c r="I14" i="1"/>
  <c r="J14" i="1"/>
  <c r="K14" i="1"/>
  <c r="L14" i="1"/>
  <c r="M14" i="1"/>
  <c r="C10" i="8"/>
  <c r="D10" i="8"/>
  <c r="E10" i="8"/>
  <c r="F10" i="8"/>
  <c r="F4" i="8"/>
  <c r="G10" i="8"/>
  <c r="C11" i="8"/>
  <c r="D11" i="8"/>
  <c r="E11" i="8"/>
  <c r="F11" i="8"/>
  <c r="G11" i="8"/>
  <c r="G12" i="8"/>
  <c r="C23" i="7"/>
  <c r="D23" i="7"/>
  <c r="E23" i="7"/>
  <c r="F23" i="7"/>
  <c r="G23" i="7"/>
  <c r="G24" i="7"/>
  <c r="G14" i="8"/>
  <c r="M15" i="1"/>
  <c r="M17" i="1"/>
  <c r="D22" i="1"/>
  <c r="E22" i="1"/>
  <c r="I22" i="1"/>
  <c r="J22" i="1"/>
  <c r="K22" i="1"/>
  <c r="E5" i="7"/>
  <c r="L22" i="1"/>
  <c r="F5" i="7"/>
  <c r="M22" i="1"/>
  <c r="D23" i="1"/>
  <c r="E23" i="1"/>
  <c r="F23" i="1"/>
  <c r="I23" i="1"/>
  <c r="J23" i="1"/>
  <c r="K23" i="1"/>
  <c r="L23" i="1"/>
  <c r="M23" i="1"/>
  <c r="G6" i="2"/>
  <c r="G7" i="2"/>
  <c r="G8" i="2"/>
  <c r="D24" i="1"/>
  <c r="E24" i="1"/>
  <c r="F24" i="1"/>
  <c r="I24" i="1"/>
  <c r="J24" i="1"/>
  <c r="K24" i="1"/>
  <c r="L24" i="1"/>
  <c r="M24" i="1"/>
  <c r="D25" i="1"/>
  <c r="E25" i="1"/>
  <c r="F25" i="1"/>
  <c r="I25" i="1"/>
  <c r="J25" i="1"/>
  <c r="K25" i="1"/>
  <c r="L25" i="1"/>
  <c r="M25" i="1"/>
  <c r="D26" i="1"/>
  <c r="E26" i="1"/>
  <c r="I26" i="1"/>
  <c r="J26" i="1"/>
  <c r="K26" i="1"/>
  <c r="L26" i="1"/>
  <c r="M26" i="1"/>
  <c r="G10" i="2"/>
  <c r="D33" i="1"/>
  <c r="I33" i="1"/>
  <c r="J33" i="1"/>
  <c r="K33" i="1"/>
  <c r="L33" i="1"/>
  <c r="M33" i="1"/>
  <c r="G11" i="2"/>
  <c r="D35" i="1"/>
  <c r="I35" i="1"/>
  <c r="J35" i="1"/>
  <c r="K35" i="1"/>
  <c r="L35" i="1"/>
  <c r="M35" i="1"/>
  <c r="G12" i="2"/>
  <c r="D32" i="1"/>
  <c r="I32" i="1"/>
  <c r="J32" i="1"/>
  <c r="K32" i="1"/>
  <c r="L32" i="1"/>
  <c r="M32" i="1"/>
  <c r="G13" i="2"/>
  <c r="D37" i="1"/>
  <c r="I37" i="1"/>
  <c r="J37" i="1"/>
  <c r="K37" i="1"/>
  <c r="L37" i="1"/>
  <c r="M37" i="1"/>
  <c r="G14" i="2"/>
  <c r="D34" i="1"/>
  <c r="I34" i="1"/>
  <c r="J34" i="1"/>
  <c r="K34" i="1"/>
  <c r="L34" i="1"/>
  <c r="M34" i="1"/>
  <c r="G15" i="2"/>
  <c r="D36" i="1"/>
  <c r="I36" i="1"/>
  <c r="J36" i="1"/>
  <c r="K36" i="1"/>
  <c r="L36" i="1"/>
  <c r="M36" i="1"/>
  <c r="G16" i="2"/>
  <c r="C21" i="7"/>
  <c r="D21" i="7"/>
  <c r="E21" i="7"/>
  <c r="F21" i="7"/>
  <c r="G21" i="7"/>
  <c r="M38" i="1"/>
  <c r="G17" i="2"/>
  <c r="G15" i="8"/>
  <c r="M39" i="1"/>
  <c r="G18" i="2"/>
  <c r="G9" i="2"/>
  <c r="G19" i="2"/>
  <c r="D20" i="7"/>
  <c r="E20" i="7"/>
  <c r="F20" i="7"/>
  <c r="G20" i="7"/>
  <c r="G7" i="6"/>
  <c r="G8" i="6"/>
  <c r="G22" i="6"/>
  <c r="B44" i="1"/>
  <c r="H44" i="1"/>
  <c r="H45" i="1"/>
  <c r="H46" i="1"/>
  <c r="H48" i="1"/>
  <c r="B28" i="7"/>
  <c r="B29" i="7"/>
  <c r="H53" i="1"/>
  <c r="H54" i="1"/>
  <c r="B2" i="3"/>
  <c r="E7" i="3"/>
  <c r="B30" i="7"/>
  <c r="D2" i="3"/>
  <c r="D3" i="3"/>
  <c r="B8" i="3"/>
  <c r="C8" i="3"/>
  <c r="D8" i="3"/>
  <c r="E8" i="3"/>
  <c r="C6" i="7"/>
  <c r="C7" i="7"/>
  <c r="C30" i="7"/>
  <c r="E2" i="3"/>
  <c r="E3" i="3"/>
  <c r="B9" i="3"/>
  <c r="C9" i="3"/>
  <c r="D9" i="3"/>
  <c r="E9" i="3"/>
  <c r="D6" i="7"/>
  <c r="D7" i="7"/>
  <c r="D30" i="7"/>
  <c r="F2" i="3"/>
  <c r="F3" i="3"/>
  <c r="B10" i="3"/>
  <c r="C10" i="3"/>
  <c r="D10" i="3"/>
  <c r="E10" i="3"/>
  <c r="E6" i="7"/>
  <c r="E7" i="7"/>
  <c r="E30" i="7"/>
  <c r="G2" i="3"/>
  <c r="G3" i="3"/>
  <c r="B11" i="3"/>
  <c r="C11" i="3"/>
  <c r="D11" i="3"/>
  <c r="E11" i="3"/>
  <c r="F6" i="7"/>
  <c r="F7" i="7"/>
  <c r="F30" i="7"/>
  <c r="H2" i="3"/>
  <c r="C12" i="3"/>
  <c r="L44" i="1"/>
  <c r="L48" i="1"/>
  <c r="C27" i="7"/>
  <c r="D27" i="7"/>
  <c r="E27" i="7"/>
  <c r="F27" i="7"/>
  <c r="F28" i="7"/>
  <c r="F29" i="7"/>
  <c r="L53" i="1"/>
  <c r="L54" i="1"/>
  <c r="B18" i="3"/>
  <c r="E23" i="3"/>
  <c r="G2" i="7"/>
  <c r="G6" i="7"/>
  <c r="G7" i="7"/>
  <c r="G30" i="7"/>
  <c r="I2" i="3"/>
  <c r="C24" i="3"/>
  <c r="G20" i="2"/>
  <c r="G21" i="2"/>
  <c r="G22" i="2"/>
  <c r="G23" i="6"/>
  <c r="C24" i="6"/>
  <c r="D24" i="6"/>
  <c r="E24" i="6"/>
  <c r="F24" i="6"/>
  <c r="G24" i="6"/>
  <c r="G26" i="6"/>
  <c r="L8" i="1"/>
  <c r="F5" i="2"/>
  <c r="F7" i="6"/>
  <c r="F12" i="8"/>
  <c r="F24" i="7"/>
  <c r="F14" i="8"/>
  <c r="L15" i="1"/>
  <c r="L17" i="1"/>
  <c r="F6" i="2"/>
  <c r="F8" i="6"/>
  <c r="F22" i="6"/>
  <c r="F7" i="2"/>
  <c r="F8" i="2"/>
  <c r="F10" i="2"/>
  <c r="F11" i="2"/>
  <c r="F12" i="2"/>
  <c r="F13" i="2"/>
  <c r="F14" i="2"/>
  <c r="F15" i="2"/>
  <c r="F16" i="2"/>
  <c r="L38" i="1"/>
  <c r="F17" i="2"/>
  <c r="F15" i="8"/>
  <c r="L39" i="1"/>
  <c r="F18" i="2"/>
  <c r="F9" i="2"/>
  <c r="F19" i="2"/>
  <c r="F20" i="2"/>
  <c r="F21" i="2"/>
  <c r="F22" i="2"/>
  <c r="F23" i="6"/>
  <c r="F26" i="6"/>
  <c r="B3" i="5"/>
  <c r="B47" i="1"/>
  <c r="B2" i="5"/>
  <c r="C3" i="5"/>
  <c r="C7" i="5"/>
  <c r="B4" i="5"/>
  <c r="C4" i="5"/>
  <c r="B34" i="7"/>
  <c r="C8" i="5"/>
  <c r="C10" i="5"/>
  <c r="I9" i="2"/>
  <c r="I10" i="2"/>
  <c r="I11" i="2"/>
  <c r="C12" i="8"/>
  <c r="C24" i="7"/>
  <c r="C14" i="8"/>
  <c r="I15" i="1"/>
  <c r="I17" i="1"/>
  <c r="C6" i="2"/>
  <c r="C7" i="2"/>
  <c r="I17" i="2"/>
  <c r="I8" i="1"/>
  <c r="C5" i="2"/>
  <c r="J17" i="2"/>
  <c r="J25" i="2"/>
  <c r="J29" i="2"/>
  <c r="K8" i="1"/>
  <c r="E5" i="2"/>
  <c r="E7" i="6"/>
  <c r="E12" i="8"/>
  <c r="E24" i="7"/>
  <c r="E14" i="8"/>
  <c r="K15" i="1"/>
  <c r="K17" i="1"/>
  <c r="E6" i="2"/>
  <c r="E8" i="6"/>
  <c r="E22" i="6"/>
  <c r="E7" i="2"/>
  <c r="E8" i="2"/>
  <c r="E10" i="2"/>
  <c r="E11" i="2"/>
  <c r="E12" i="2"/>
  <c r="E13" i="2"/>
  <c r="E14" i="2"/>
  <c r="E15" i="2"/>
  <c r="E16" i="2"/>
  <c r="K38" i="1"/>
  <c r="E17" i="2"/>
  <c r="E15" i="8"/>
  <c r="K39" i="1"/>
  <c r="E18" i="2"/>
  <c r="E9" i="2"/>
  <c r="E19" i="2"/>
  <c r="E20" i="2"/>
  <c r="E21" i="2"/>
  <c r="E22" i="2"/>
  <c r="E23" i="6"/>
  <c r="E26" i="6"/>
  <c r="C8" i="2"/>
  <c r="C10" i="2"/>
  <c r="C11" i="2"/>
  <c r="C12" i="2"/>
  <c r="C13" i="2"/>
  <c r="C14" i="2"/>
  <c r="C15" i="2"/>
  <c r="C16" i="2"/>
  <c r="I38" i="1"/>
  <c r="C17" i="2"/>
  <c r="C15" i="8"/>
  <c r="I39" i="1"/>
  <c r="C18" i="2"/>
  <c r="C9" i="2"/>
  <c r="C19" i="2"/>
  <c r="C7" i="6"/>
  <c r="C8" i="6"/>
  <c r="C22" i="6"/>
  <c r="C20" i="2"/>
  <c r="C21" i="2"/>
  <c r="C22" i="2"/>
  <c r="C23" i="6"/>
  <c r="C26" i="6"/>
  <c r="J8" i="1"/>
  <c r="D5" i="2"/>
  <c r="D12" i="8"/>
  <c r="D24" i="7"/>
  <c r="D14" i="8"/>
  <c r="J15" i="1"/>
  <c r="J17" i="1"/>
  <c r="D6" i="2"/>
  <c r="D7" i="2"/>
  <c r="D8" i="2"/>
  <c r="D10" i="2"/>
  <c r="D11" i="2"/>
  <c r="D12" i="2"/>
  <c r="D13" i="2"/>
  <c r="D14" i="2"/>
  <c r="D15" i="2"/>
  <c r="D16" i="2"/>
  <c r="J38" i="1"/>
  <c r="D17" i="2"/>
  <c r="D15" i="8"/>
  <c r="J39" i="1"/>
  <c r="D18" i="2"/>
  <c r="D9" i="2"/>
  <c r="D19" i="2"/>
  <c r="D7" i="6"/>
  <c r="D8" i="6"/>
  <c r="D22" i="6"/>
  <c r="D20" i="2"/>
  <c r="D21" i="2"/>
  <c r="D22" i="2"/>
  <c r="D23" i="6"/>
  <c r="D26" i="6"/>
  <c r="C4" i="2"/>
  <c r="D4" i="2"/>
  <c r="E4" i="2"/>
  <c r="F4" i="2"/>
  <c r="G4" i="2"/>
  <c r="G4" i="7"/>
  <c r="G18" i="7"/>
  <c r="G3" i="7"/>
  <c r="G19" i="7"/>
  <c r="H3" i="3"/>
  <c r="B12" i="3"/>
  <c r="D12" i="3"/>
  <c r="E12" i="3"/>
  <c r="D18" i="3"/>
  <c r="B24" i="3"/>
  <c r="D24" i="3"/>
  <c r="E24" i="3"/>
  <c r="G29" i="6"/>
  <c r="G6" i="9"/>
  <c r="G7" i="9"/>
  <c r="G12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F29" i="6"/>
  <c r="G29" i="9"/>
  <c r="G34" i="9"/>
  <c r="G35" i="9"/>
  <c r="F6" i="9"/>
  <c r="F7" i="9"/>
  <c r="F8" i="9"/>
  <c r="F9" i="9"/>
  <c r="F12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E29" i="6"/>
  <c r="F29" i="9"/>
  <c r="C47" i="1"/>
  <c r="F32" i="9"/>
  <c r="F34" i="9"/>
  <c r="F35" i="9"/>
  <c r="E6" i="9"/>
  <c r="E7" i="9"/>
  <c r="E12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D29" i="6"/>
  <c r="E29" i="9"/>
  <c r="E34" i="9"/>
  <c r="E35" i="9"/>
  <c r="D6" i="9"/>
  <c r="D7" i="9"/>
  <c r="D12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C29" i="6"/>
  <c r="D29" i="9"/>
  <c r="D34" i="9"/>
  <c r="D35" i="9"/>
  <c r="C6" i="9"/>
  <c r="C12" i="9"/>
  <c r="C16" i="9"/>
  <c r="C18" i="9"/>
  <c r="C19" i="9"/>
  <c r="C20" i="9"/>
  <c r="C21" i="9"/>
  <c r="C22" i="9"/>
  <c r="C24" i="9"/>
  <c r="C25" i="9"/>
  <c r="C26" i="9"/>
  <c r="C28" i="9"/>
  <c r="B29" i="6"/>
  <c r="C29" i="9"/>
  <c r="C34" i="9"/>
  <c r="C35" i="9"/>
  <c r="B8" i="9"/>
  <c r="B36" i="6"/>
  <c r="B9" i="9"/>
  <c r="B12" i="9"/>
  <c r="B31" i="9"/>
  <c r="B32" i="9"/>
  <c r="B33" i="9"/>
  <c r="B34" i="9"/>
  <c r="B35" i="9"/>
  <c r="B37" i="9"/>
  <c r="C36" i="9"/>
  <c r="C37" i="9"/>
  <c r="D36" i="9"/>
  <c r="D37" i="9"/>
  <c r="E36" i="9"/>
  <c r="E37" i="9"/>
  <c r="F36" i="9"/>
  <c r="F37" i="9"/>
  <c r="G36" i="9"/>
  <c r="G37" i="9"/>
  <c r="B12" i="6"/>
  <c r="C12" i="6"/>
  <c r="D12" i="6"/>
  <c r="E12" i="6"/>
  <c r="F12" i="6"/>
  <c r="G12" i="6"/>
  <c r="C13" i="6"/>
  <c r="D13" i="6"/>
  <c r="E13" i="6"/>
  <c r="F13" i="6"/>
  <c r="G13" i="6"/>
  <c r="C36" i="6"/>
  <c r="D36" i="6"/>
  <c r="E36" i="6"/>
  <c r="F36" i="6"/>
  <c r="G36" i="6"/>
  <c r="C23" i="2"/>
  <c r="C39" i="6"/>
  <c r="D37" i="6"/>
  <c r="D23" i="2"/>
  <c r="D39" i="6"/>
  <c r="E37" i="6"/>
  <c r="E23" i="2"/>
  <c r="E39" i="6"/>
  <c r="F37" i="6"/>
  <c r="F23" i="2"/>
  <c r="F39" i="6"/>
  <c r="G37" i="6"/>
  <c r="G23" i="2"/>
  <c r="G39" i="6"/>
  <c r="D38" i="6"/>
  <c r="E38" i="6"/>
  <c r="F38" i="6"/>
  <c r="G38" i="6"/>
  <c r="E37" i="1"/>
  <c r="B37" i="1"/>
  <c r="G6" i="12"/>
  <c r="G7" i="12"/>
  <c r="G8" i="12"/>
  <c r="G9" i="12"/>
  <c r="G10" i="12"/>
  <c r="G11" i="12"/>
  <c r="E6" i="12"/>
  <c r="E7" i="12"/>
  <c r="E8" i="12"/>
  <c r="E9" i="12"/>
  <c r="E10" i="12"/>
  <c r="E11" i="12"/>
  <c r="H58" i="1"/>
  <c r="H59" i="1"/>
  <c r="I59" i="1"/>
  <c r="H60" i="1"/>
  <c r="E32" i="1"/>
  <c r="E33" i="1"/>
  <c r="E34" i="1"/>
  <c r="E35" i="1"/>
  <c r="E36" i="1"/>
  <c r="E40" i="1"/>
  <c r="D40" i="1"/>
  <c r="F9" i="10"/>
  <c r="F10" i="10"/>
  <c r="F11" i="10"/>
  <c r="F12" i="10"/>
  <c r="G9" i="10"/>
  <c r="G10" i="10"/>
  <c r="G11" i="10"/>
  <c r="G12" i="10"/>
  <c r="H9" i="10"/>
  <c r="H10" i="10"/>
  <c r="H11" i="10"/>
  <c r="H12" i="10"/>
  <c r="I9" i="10"/>
  <c r="I10" i="10"/>
  <c r="I11" i="10"/>
  <c r="I12" i="10"/>
  <c r="E9" i="10"/>
  <c r="E10" i="10"/>
  <c r="E11" i="10"/>
  <c r="E12" i="10"/>
  <c r="C11" i="10"/>
  <c r="F8" i="10"/>
  <c r="G8" i="10"/>
  <c r="H8" i="10"/>
  <c r="I8" i="10"/>
  <c r="E8" i="10"/>
  <c r="F7" i="10"/>
  <c r="G7" i="10"/>
  <c r="H7" i="10"/>
  <c r="I7" i="10"/>
  <c r="E7" i="10"/>
  <c r="F6" i="10"/>
  <c r="G6" i="10"/>
  <c r="H6" i="10"/>
  <c r="I6" i="10"/>
  <c r="E6" i="10"/>
  <c r="F5" i="10"/>
  <c r="G5" i="10"/>
  <c r="H5" i="10"/>
  <c r="I5" i="10"/>
  <c r="E5" i="10"/>
  <c r="F4" i="10"/>
  <c r="G4" i="10"/>
  <c r="H4" i="10"/>
  <c r="I4" i="10"/>
  <c r="E4" i="10"/>
  <c r="F19" i="10"/>
  <c r="G19" i="10"/>
  <c r="H19" i="10"/>
  <c r="I19" i="10"/>
  <c r="E19" i="10"/>
  <c r="E5" i="6"/>
  <c r="E10" i="6"/>
  <c r="E16" i="6"/>
  <c r="G3" i="10"/>
  <c r="G18" i="10"/>
  <c r="F5" i="6"/>
  <c r="F10" i="6"/>
  <c r="F16" i="6"/>
  <c r="H3" i="10"/>
  <c r="H18" i="10"/>
  <c r="G5" i="6"/>
  <c r="G10" i="6"/>
  <c r="G16" i="6"/>
  <c r="I3" i="10"/>
  <c r="I18" i="10"/>
  <c r="D41" i="6"/>
  <c r="F2" i="10"/>
  <c r="F17" i="10"/>
  <c r="E41" i="6"/>
  <c r="G2" i="10"/>
  <c r="G17" i="10"/>
  <c r="F41" i="6"/>
  <c r="H2" i="10"/>
  <c r="H17" i="10"/>
  <c r="G41" i="6"/>
  <c r="I2" i="10"/>
  <c r="I17" i="10"/>
  <c r="D5" i="6"/>
  <c r="D10" i="6"/>
  <c r="D16" i="6"/>
  <c r="F3" i="10"/>
  <c r="C5" i="6"/>
  <c r="C10" i="6"/>
  <c r="C16" i="6"/>
  <c r="E3" i="10"/>
  <c r="C41" i="6"/>
  <c r="E2" i="10"/>
  <c r="F16" i="10"/>
  <c r="G16" i="10"/>
  <c r="H16" i="10"/>
  <c r="I16" i="10"/>
  <c r="G1" i="10"/>
  <c r="H1" i="10"/>
  <c r="I1" i="10"/>
  <c r="F18" i="10"/>
  <c r="E18" i="10"/>
  <c r="D18" i="10"/>
  <c r="A18" i="10"/>
  <c r="E17" i="10"/>
  <c r="D17" i="10"/>
  <c r="A17" i="10"/>
  <c r="D26" i="2"/>
  <c r="E26" i="2"/>
  <c r="F26" i="2"/>
  <c r="G26" i="2"/>
  <c r="J27" i="1"/>
  <c r="K27" i="1"/>
  <c r="L27" i="1"/>
  <c r="M27" i="1"/>
  <c r="D38" i="1"/>
  <c r="K42" i="6"/>
  <c r="L42" i="6"/>
  <c r="M42" i="6"/>
  <c r="N42" i="6"/>
  <c r="B41" i="6"/>
  <c r="J42" i="6"/>
  <c r="C32" i="6"/>
  <c r="C34" i="6"/>
  <c r="K39" i="6"/>
  <c r="D32" i="6"/>
  <c r="D34" i="6"/>
  <c r="L39" i="6"/>
  <c r="E32" i="6"/>
  <c r="E34" i="6"/>
  <c r="M39" i="6"/>
  <c r="F32" i="6"/>
  <c r="F34" i="6"/>
  <c r="N39" i="6"/>
  <c r="B32" i="6"/>
  <c r="B26" i="6"/>
  <c r="B34" i="6"/>
  <c r="J39" i="6"/>
  <c r="H2" i="1"/>
  <c r="H11" i="1"/>
  <c r="H21" i="1"/>
  <c r="I2" i="1"/>
  <c r="I11" i="1"/>
  <c r="I21" i="1"/>
  <c r="J2" i="1"/>
  <c r="J11" i="1"/>
  <c r="J21" i="1"/>
  <c r="K2" i="1"/>
  <c r="K11" i="1"/>
  <c r="K21" i="1"/>
  <c r="L2" i="1"/>
  <c r="L11" i="1"/>
  <c r="L21" i="1"/>
  <c r="M2" i="1"/>
  <c r="M11" i="1"/>
  <c r="M21" i="1"/>
  <c r="C12" i="7"/>
  <c r="C10" i="7"/>
  <c r="D10" i="7"/>
  <c r="E10" i="7"/>
  <c r="F10" i="7"/>
  <c r="G10" i="7"/>
  <c r="D12" i="7"/>
  <c r="E12" i="7"/>
  <c r="F12" i="7"/>
  <c r="G12" i="7"/>
  <c r="D14" i="7"/>
  <c r="E14" i="7"/>
  <c r="F14" i="7"/>
  <c r="G14" i="7"/>
  <c r="B18" i="7"/>
  <c r="B19" i="7"/>
  <c r="C33" i="7"/>
  <c r="D33" i="7"/>
  <c r="E33" i="7"/>
  <c r="F33" i="7"/>
  <c r="G33" i="7"/>
  <c r="C34" i="7"/>
  <c r="D34" i="7"/>
  <c r="E34" i="7"/>
  <c r="F34" i="7"/>
  <c r="G34" i="7"/>
  <c r="C32" i="7"/>
  <c r="D32" i="7"/>
  <c r="E32" i="7"/>
  <c r="F32" i="7"/>
  <c r="G32" i="7"/>
  <c r="C31" i="7"/>
  <c r="D31" i="7"/>
  <c r="E31" i="7"/>
  <c r="F31" i="7"/>
  <c r="G31" i="7"/>
  <c r="G27" i="7"/>
  <c r="G28" i="7"/>
  <c r="E28" i="7"/>
  <c r="D28" i="7"/>
  <c r="C28" i="7"/>
  <c r="J2" i="3"/>
  <c r="K2" i="3"/>
  <c r="L2" i="3"/>
  <c r="M2" i="3"/>
  <c r="A24" i="3"/>
  <c r="A25" i="3"/>
  <c r="A26" i="3"/>
  <c r="A27" i="3"/>
  <c r="A28" i="3"/>
  <c r="B16" i="6"/>
  <c r="A8" i="3"/>
  <c r="A9" i="3"/>
  <c r="A10" i="3"/>
  <c r="A11" i="3"/>
  <c r="A12" i="3"/>
  <c r="G2" i="8"/>
  <c r="G4" i="9"/>
  <c r="I1" i="3"/>
  <c r="F2" i="8"/>
  <c r="F4" i="9"/>
  <c r="H1" i="3"/>
  <c r="E2" i="8"/>
  <c r="E4" i="9"/>
  <c r="G1" i="3"/>
  <c r="D2" i="8"/>
  <c r="D4" i="9"/>
  <c r="F1" i="3"/>
  <c r="C2" i="8"/>
  <c r="C4" i="9"/>
  <c r="E1" i="3"/>
  <c r="B2" i="8"/>
  <c r="B4" i="9"/>
  <c r="D1" i="3"/>
  <c r="G29" i="7"/>
  <c r="E29" i="7"/>
  <c r="D29" i="7"/>
  <c r="C29" i="7"/>
  <c r="M40" i="1"/>
  <c r="L40" i="1"/>
  <c r="K40" i="1"/>
  <c r="J40" i="1"/>
  <c r="H40" i="1"/>
  <c r="I40" i="1"/>
  <c r="I27" i="1"/>
  <c r="B24" i="7"/>
  <c r="B14" i="8"/>
  <c r="B12" i="8"/>
  <c r="B15" i="8"/>
  <c r="G9" i="8"/>
  <c r="F9" i="8"/>
  <c r="E9" i="8"/>
  <c r="D9" i="8"/>
  <c r="C9" i="8"/>
  <c r="B9" i="8"/>
  <c r="C22" i="7"/>
  <c r="D22" i="7"/>
  <c r="E22" i="7"/>
  <c r="F22" i="7"/>
  <c r="G22" i="7"/>
  <c r="G9" i="7"/>
  <c r="G17" i="7"/>
  <c r="G26" i="7"/>
  <c r="F9" i="7"/>
  <c r="F17" i="7"/>
  <c r="F26" i="7"/>
  <c r="E9" i="7"/>
  <c r="E17" i="7"/>
  <c r="E26" i="7"/>
  <c r="D9" i="7"/>
  <c r="D17" i="7"/>
  <c r="D26" i="7"/>
  <c r="C9" i="7"/>
  <c r="C17" i="7"/>
  <c r="C26" i="7"/>
  <c r="B9" i="7"/>
  <c r="B17" i="7"/>
  <c r="B26" i="7"/>
  <c r="M31" i="1"/>
  <c r="M43" i="1"/>
  <c r="L31" i="1"/>
  <c r="L43" i="1"/>
  <c r="K31" i="1"/>
  <c r="K43" i="1"/>
  <c r="J31" i="1"/>
  <c r="J43" i="1"/>
  <c r="I31" i="1"/>
  <c r="I43" i="1"/>
  <c r="H31" i="1"/>
  <c r="H43" i="1"/>
  <c r="C43" i="1"/>
  <c r="B43" i="1"/>
  <c r="F27" i="1"/>
  <c r="E27" i="1"/>
  <c r="G5" i="7"/>
  <c r="E18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5" i="6"/>
  <c r="B10" i="6"/>
  <c r="B18" i="6"/>
  <c r="B43" i="6"/>
  <c r="B45" i="6"/>
  <c r="M48" i="1"/>
  <c r="M53" i="1"/>
  <c r="M54" i="1"/>
  <c r="K48" i="1"/>
  <c r="K53" i="1"/>
  <c r="K54" i="1"/>
  <c r="J48" i="1"/>
  <c r="J53" i="1"/>
  <c r="J54" i="1"/>
  <c r="I48" i="1"/>
  <c r="I53" i="1"/>
  <c r="I54" i="1"/>
  <c r="G18" i="6"/>
  <c r="G32" i="6"/>
  <c r="G34" i="6"/>
  <c r="G43" i="6"/>
  <c r="G45" i="6"/>
  <c r="F18" i="6"/>
  <c r="F43" i="6"/>
  <c r="F45" i="6"/>
  <c r="E18" i="6"/>
  <c r="E43" i="6"/>
  <c r="E45" i="6"/>
  <c r="D18" i="6"/>
  <c r="D43" i="6"/>
  <c r="D45" i="6"/>
  <c r="C18" i="6"/>
  <c r="C43" i="6"/>
  <c r="C45" i="6"/>
  <c r="C2" i="5"/>
</calcChain>
</file>

<file path=xl/comments1.xml><?xml version="1.0" encoding="utf-8"?>
<comments xmlns="http://schemas.openxmlformats.org/spreadsheetml/2006/main">
  <authors>
    <author>Luz Libia Jimenez Perez</author>
  </authors>
  <commentList>
    <comment ref="A2" authorId="0" shapeId="0">
      <text>
        <r>
          <rPr>
            <b/>
            <sz val="9"/>
            <color indexed="81"/>
            <rFont val="Tahoma"/>
          </rPr>
          <t>Luz Libia Jimenez Perez:</t>
        </r>
        <r>
          <rPr>
            <sz val="9"/>
            <color indexed="81"/>
            <rFont val="Tahoma"/>
          </rPr>
          <t xml:space="preserve">
UTILIDAD ANTES DE INTERESES, IMPUESTOS,DEPRECIACIONES Y AMORTIZACIONES
</t>
        </r>
      </text>
    </comment>
    <comment ref="A25" authorId="0" shapeId="0">
      <text>
        <r>
          <rPr>
            <b/>
            <sz val="9"/>
            <color indexed="81"/>
            <rFont val="Tahoma"/>
          </rPr>
          <t>Luz Libia Jimenez Perez:</t>
        </r>
        <r>
          <rPr>
            <sz val="9"/>
            <color indexed="81"/>
            <rFont val="Tahoma"/>
          </rPr>
          <t xml:space="preserve">
CAPITAL DE TRABAJO NETO OPERATIVO:  CARTERA+INVENTARIOS-IMPUESTOS POR PAGAR.  ESTAN EN EL BALANCE
</t>
        </r>
      </text>
    </comment>
  </commentList>
</comments>
</file>

<file path=xl/sharedStrings.xml><?xml version="1.0" encoding="utf-8"?>
<sst xmlns="http://schemas.openxmlformats.org/spreadsheetml/2006/main" count="319" uniqueCount="235">
  <si>
    <t>PRECIO VENTA</t>
  </si>
  <si>
    <t>TOTAL</t>
  </si>
  <si>
    <t>INVERSIONES</t>
  </si>
  <si>
    <t>ADECUACIONES</t>
  </si>
  <si>
    <t>GERENTE GENERAL</t>
  </si>
  <si>
    <t>CONTADOR</t>
  </si>
  <si>
    <t>DEPRECIACIONES</t>
  </si>
  <si>
    <t>PAPELERÍA</t>
  </si>
  <si>
    <t>SERV PUBLICOS</t>
  </si>
  <si>
    <t>TX PREDIAL</t>
  </si>
  <si>
    <t>GASTOS DE TRANSPORTE</t>
  </si>
  <si>
    <t>MANTENIMIENTOS</t>
  </si>
  <si>
    <t>PUBLICIDAD</t>
  </si>
  <si>
    <t>SALARIOS</t>
  </si>
  <si>
    <t>SERV PÚBLICOS</t>
  </si>
  <si>
    <t>MANTENIMIENTO</t>
  </si>
  <si>
    <t>COMISIONES</t>
  </si>
  <si>
    <t>OTROS GASTOS</t>
  </si>
  <si>
    <t>GASTOS FINANCIEROS</t>
  </si>
  <si>
    <t>MONTO</t>
  </si>
  <si>
    <t>TASA</t>
  </si>
  <si>
    <t>PLAZO AÑOS</t>
  </si>
  <si>
    <t>CUOTA ANUAL</t>
  </si>
  <si>
    <t>PERIODO</t>
  </si>
  <si>
    <t>CUOTA</t>
  </si>
  <si>
    <t>INTERES</t>
  </si>
  <si>
    <t>AMORT</t>
  </si>
  <si>
    <t>SALDO</t>
  </si>
  <si>
    <t>TX</t>
  </si>
  <si>
    <t>TX RENTA</t>
  </si>
  <si>
    <t>COSTO DE VENTAS</t>
  </si>
  <si>
    <t>UTILIDAD BRUTA</t>
  </si>
  <si>
    <t>EBITDA</t>
  </si>
  <si>
    <t>MENOS D AP</t>
  </si>
  <si>
    <t>NOPLAT</t>
  </si>
  <si>
    <t>MAS DAP</t>
  </si>
  <si>
    <t>FLUJO CAJA BRUTO</t>
  </si>
  <si>
    <t>MAS MENOS NOF</t>
  </si>
  <si>
    <t>MAS/MENOS CAPEX</t>
  </si>
  <si>
    <t>FLUJO DE CAJA LIBRE</t>
  </si>
  <si>
    <t>VARIACIÓN DEUDA</t>
  </si>
  <si>
    <t>PAGO INTERESES</t>
  </si>
  <si>
    <t>FLUJO DE CAJA INVERSIONISTA</t>
  </si>
  <si>
    <t>MAS ESCUDO FISCAL</t>
  </si>
  <si>
    <t>SALARIO MES</t>
  </si>
  <si>
    <t>TOTAL MES</t>
  </si>
  <si>
    <t>TOTAL AÑO</t>
  </si>
  <si>
    <t>U-NETA</t>
  </si>
  <si>
    <t>Kd</t>
  </si>
  <si>
    <t>COSTO</t>
  </si>
  <si>
    <t>Ke</t>
  </si>
  <si>
    <t>RF</t>
  </si>
  <si>
    <t>RM</t>
  </si>
  <si>
    <t>B</t>
  </si>
  <si>
    <t xml:space="preserve">SALARIOS </t>
  </si>
  <si>
    <t>DEUDA</t>
  </si>
  <si>
    <t>EQUITY</t>
  </si>
  <si>
    <t>INVERSIÓN</t>
  </si>
  <si>
    <t>VALOR</t>
  </si>
  <si>
    <t>PARTICIP</t>
  </si>
  <si>
    <t>WACC</t>
  </si>
  <si>
    <t>DISPONIBLE</t>
  </si>
  <si>
    <t>INVERSIONES TEMPORALES</t>
  </si>
  <si>
    <t>INVENTARIO</t>
  </si>
  <si>
    <t>TOTAL ACTIVO CORRIENTE</t>
  </si>
  <si>
    <t>DEPRECIACIÓN ACUMULADA</t>
  </si>
  <si>
    <t>DIFERIDOS</t>
  </si>
  <si>
    <t>AMORTIZACIONES ACUMULADAS</t>
  </si>
  <si>
    <t>TOTAL ACTIVO NO CORRIENTE</t>
  </si>
  <si>
    <t>PASIVO</t>
  </si>
  <si>
    <t>IMPUESTOS POR PAGAR</t>
  </si>
  <si>
    <t>OBLIGACIONES CON EMPLEADOS</t>
  </si>
  <si>
    <t>PROVEEDORES</t>
  </si>
  <si>
    <t>TOTAL PASIVO CORRIENTE</t>
  </si>
  <si>
    <t>OBLIGACIONES FINANCIERAS CP</t>
  </si>
  <si>
    <t>OBLIGACIONES FINANCIERAS LP</t>
  </si>
  <si>
    <t>OTROS PASIVOS LP</t>
  </si>
  <si>
    <t>TOTAL PASIVO NO CORRIENTE</t>
  </si>
  <si>
    <t>CAPITAL</t>
  </si>
  <si>
    <t>RESERVAS</t>
  </si>
  <si>
    <t>UTILIDADES RETENIDAS</t>
  </si>
  <si>
    <t>UTILIDADES EJERCICIO</t>
  </si>
  <si>
    <t>REVALORIZACIONES</t>
  </si>
  <si>
    <t>INFLACIÓN DE LARGO PLAZO</t>
  </si>
  <si>
    <t>IPP</t>
  </si>
  <si>
    <t>PIB</t>
  </si>
  <si>
    <t>AJUSTE SMMLV</t>
  </si>
  <si>
    <t>PRESUPUESTO DE VENTAS</t>
  </si>
  <si>
    <t>ESTADO DE SITUACIÓN</t>
  </si>
  <si>
    <t>ROTACIÓN CARTERA SECTOR</t>
  </si>
  <si>
    <t>DIAS MEDIO COBRO CLIENTES</t>
  </si>
  <si>
    <t>ROTACIÓN INVENTARIOS SECTOR</t>
  </si>
  <si>
    <t>DIAS MEDIOS INVENTARIOS</t>
  </si>
  <si>
    <t>ROTACIÓN PROVEEDORES</t>
  </si>
  <si>
    <t>DIAS PROMEDIO PAGO PROVEEDORES</t>
  </si>
  <si>
    <t># EMPLEADOS</t>
  </si>
  <si>
    <t>PRESTACIONES</t>
  </si>
  <si>
    <t>TOTAL SUELDO  AÑO</t>
  </si>
  <si>
    <t>GASTO MES</t>
  </si>
  <si>
    <t>CANTIDAD</t>
  </si>
  <si>
    <t>PRESUPUESTO DE OTROS GASTOS</t>
  </si>
  <si>
    <t>PRESUPUESTO DE CAPITAL</t>
  </si>
  <si>
    <t>ESTADO DE RESULTADOS</t>
  </si>
  <si>
    <t>CRECIMIENTO VENTAS (INF+PIB)</t>
  </si>
  <si>
    <t>CRECIMIENTO COSTOS</t>
  </si>
  <si>
    <t>COMISIONES/VENTAS</t>
  </si>
  <si>
    <t>ESTRUCTURA FINANCIERA</t>
  </si>
  <si>
    <t>LEVERAGE FINANCIERO</t>
  </si>
  <si>
    <t>INGRESOS OPERACIONALES</t>
  </si>
  <si>
    <t>GASTOS DE ADMON Y VENTA</t>
  </si>
  <si>
    <t>EQUIPOS DE OFICINA</t>
  </si>
  <si>
    <t>EQUIPOS OFICINA</t>
  </si>
  <si>
    <t>INMUEBLE</t>
  </si>
  <si>
    <t>VIDA ÚTIL</t>
  </si>
  <si>
    <t>GASTO</t>
  </si>
  <si>
    <t>Depreciaciones (40% Bodega+Equipos)</t>
  </si>
  <si>
    <t>CIFRAS EN COP$</t>
  </si>
  <si>
    <t>FLUJO DE TESORERÍA</t>
  </si>
  <si>
    <t>ENTRADAS</t>
  </si>
  <si>
    <t>RECUPERACIÓN CARTERA</t>
  </si>
  <si>
    <t>SALIDAS</t>
  </si>
  <si>
    <t>COMPRAS</t>
  </si>
  <si>
    <t>PAGO A PROVEEDORES</t>
  </si>
  <si>
    <t>PAGO SERVICIOS</t>
  </si>
  <si>
    <t>NUEVA DEUDA</t>
  </si>
  <si>
    <t>PAGO DEUDA</t>
  </si>
  <si>
    <t>DIVIDENDOS</t>
  </si>
  <si>
    <t>CXC CLIENTES</t>
  </si>
  <si>
    <t>TOTAL ENTRADAS</t>
  </si>
  <si>
    <t>TOTAL SALIDAS</t>
  </si>
  <si>
    <t>SALDO NETO PERIODO</t>
  </si>
  <si>
    <t>MAS SALDO ANTERIOR</t>
  </si>
  <si>
    <t>ACTIVOS FIJOS BRUTOS</t>
  </si>
  <si>
    <t>TOTAL ACTIVO</t>
  </si>
  <si>
    <t>PAGO IMPUESTO PREDIAL</t>
  </si>
  <si>
    <t>PAGO SALARIOS + PRESTACIONES</t>
  </si>
  <si>
    <t>PAGO CESANTÍAS</t>
  </si>
  <si>
    <t>COMPRAS PAPELERÍA</t>
  </si>
  <si>
    <t>PAGO PUBLICIDAD</t>
  </si>
  <si>
    <t>COMISIONES VENTA</t>
  </si>
  <si>
    <t>PAGO TX RENTA</t>
  </si>
  <si>
    <t>TOTAL PATRIMONIO</t>
  </si>
  <si>
    <t>TOTAL PASIVO + PATRIMONIO</t>
  </si>
  <si>
    <t>CUADRE</t>
  </si>
  <si>
    <t>TOTAL PASIVO</t>
  </si>
  <si>
    <t>SALDO FINAL CAJA</t>
  </si>
  <si>
    <t>% DEUDA</t>
  </si>
  <si>
    <t>% PATRIMONIO</t>
  </si>
  <si>
    <t>COMPRA EQUIPOS</t>
  </si>
  <si>
    <t>DTF</t>
  </si>
  <si>
    <t>DEUDA 2020</t>
  </si>
  <si>
    <t>DEUDA 2016</t>
  </si>
  <si>
    <t>KTNO</t>
  </si>
  <si>
    <t>SALDO ANTERIOR</t>
  </si>
  <si>
    <t>SALDO DE CAJA EJERCICIO</t>
  </si>
  <si>
    <t>CUADRE CON TESORERÍA</t>
  </si>
  <si>
    <t>ESTADO DE SITUACIÓN FINANCIERA</t>
  </si>
  <si>
    <t>VALOR DE CONTINUIDAD</t>
  </si>
  <si>
    <t>METODO 1: CONTABLE</t>
  </si>
  <si>
    <t>EQUIPOS E INMUEBLES</t>
  </si>
  <si>
    <t>RECUPERACIÓN CAPITAL DE TRABAJO</t>
  </si>
  <si>
    <t>VA VC</t>
  </si>
  <si>
    <t>EQUIPOS</t>
  </si>
  <si>
    <t>MACROECONÓMICAS</t>
  </si>
  <si>
    <t>METODO 2: VALOR DE MERCADO</t>
  </si>
  <si>
    <t>Kd*</t>
  </si>
  <si>
    <t>METODO 3: VALOR DE CONTINUIDAD</t>
  </si>
  <si>
    <t>INFLACIÓN</t>
  </si>
  <si>
    <t>VNA</t>
  </si>
  <si>
    <t>FCL</t>
  </si>
  <si>
    <t>TIR</t>
  </si>
  <si>
    <t>IR</t>
  </si>
  <si>
    <t>VA FC+</t>
  </si>
  <si>
    <t>PAYBACK</t>
  </si>
  <si>
    <t>VALORACIÓN DEL FLUJO DE CAJA LIBRE POR CADA UNO DE LOS MÉTODOS</t>
  </si>
  <si>
    <t>FCL + VC</t>
  </si>
  <si>
    <t>SPREED DEUDA</t>
  </si>
  <si>
    <t>FORMULA</t>
  </si>
  <si>
    <t>% ESPACIO ADMINISTRATIVO</t>
  </si>
  <si>
    <t>% ESPACIO COSTO</t>
  </si>
  <si>
    <t xml:space="preserve"> </t>
  </si>
  <si>
    <t>MEMBRESIAS</t>
  </si>
  <si>
    <t>ESPACIO ABIERTO</t>
  </si>
  <si>
    <t>PUESTO FIJO</t>
  </si>
  <si>
    <t>OFICINA PRIVADA</t>
  </si>
  <si>
    <t>EVENTOS</t>
  </si>
  <si>
    <t>SALAS DE REUNION</t>
  </si>
  <si>
    <t>VIGILANCIA  Y MANTENIMIENTO</t>
  </si>
  <si>
    <t>INSTRUCTOR  - CONFERENCISTA</t>
  </si>
  <si>
    <t xml:space="preserve">  </t>
  </si>
  <si>
    <t>UAI</t>
  </si>
  <si>
    <t>UTILIDAD OPERACIONAL</t>
  </si>
  <si>
    <t>EBIT  (UTILIDAD OPERACIONAL)</t>
  </si>
  <si>
    <t>RECURSOS PROPIOS</t>
  </si>
  <si>
    <t>INDICADOR</t>
  </si>
  <si>
    <t>IDEAL</t>
  </si>
  <si>
    <t>ROE</t>
  </si>
  <si>
    <t>UAI/PATRIMONIO PROMEDIO*100</t>
  </si>
  <si>
    <t>↑</t>
  </si>
  <si>
    <t>ROI</t>
  </si>
  <si>
    <t>UAII/ACTIVOS OPERATIVOS PROMEDIO * 100</t>
  </si>
  <si>
    <t>MARGEN BRUTO</t>
  </si>
  <si>
    <t>UTILIDAD BRUTA/VENTAS NETAS *100</t>
  </si>
  <si>
    <t>MARGEN OPERATIVO</t>
  </si>
  <si>
    <t>UAII/VENTAS NETAS * 100</t>
  </si>
  <si>
    <t>MARGEN ANTES IMPUESTOS</t>
  </si>
  <si>
    <t>UAI/VENTAS NETAS * 100</t>
  </si>
  <si>
    <t>MARGEN NETO</t>
  </si>
  <si>
    <t>UTILIDAD NETA/VENTAS NETAS *100</t>
  </si>
  <si>
    <t>↓</t>
  </si>
  <si>
    <t>CARGA OPERATIVA</t>
  </si>
  <si>
    <t xml:space="preserve">GASTOS OPERATIVOS/VENTAS NETAS * 100
</t>
  </si>
  <si>
    <t>UAII+(DEPRECIACION+AMORTIZACION)</t>
  </si>
  <si>
    <t>MARGEN EBITDA</t>
  </si>
  <si>
    <t>EBITDA/VENTAS NETAS * 100</t>
  </si>
  <si>
    <t>PDC (PALANCA DE CRECIMIENTO)</t>
  </si>
  <si>
    <t>MARGEN EBITDA/PRODUCTIVIDAD DEL KTNO</t>
  </si>
  <si>
    <t>DESIGUALDAD FINANCIERA</t>
  </si>
  <si>
    <t xml:space="preserve">TASA INTERES PROMEDIO POND. </t>
  </si>
  <si>
    <t>ESCENARIO IDEAL  O ESENCIA LOGICA DE LOS NEGOCIOS</t>
  </si>
  <si>
    <r>
      <t xml:space="preserve">%ROE </t>
    </r>
    <r>
      <rPr>
        <b/>
        <sz val="16"/>
        <rFont val="Trebuchet MS"/>
        <family val="2"/>
      </rPr>
      <t>&gt;</t>
    </r>
    <r>
      <rPr>
        <b/>
        <sz val="12"/>
        <rFont val="Trebuchet MS"/>
        <family val="2"/>
      </rPr>
      <t xml:space="preserve"> %ROI </t>
    </r>
    <r>
      <rPr>
        <b/>
        <sz val="16"/>
        <rFont val="Trebuchet MS"/>
        <family val="2"/>
      </rPr>
      <t>&gt;</t>
    </r>
    <r>
      <rPr>
        <b/>
        <sz val="12"/>
        <rFont val="Trebuchet MS"/>
        <family val="2"/>
      </rPr>
      <t xml:space="preserve"> TASA INTERES</t>
    </r>
    <r>
      <rPr>
        <b/>
        <sz val="8"/>
        <rFont val="Trebuchet MS"/>
        <family val="2"/>
      </rPr>
      <t>(COSTO DEUDA)</t>
    </r>
  </si>
  <si>
    <t>PRODUCTIVIDAD DEL KTNO</t>
  </si>
  <si>
    <t>KTNO/VENTAS NETAS*100</t>
  </si>
  <si>
    <t>PRESUPUESTO DE  ADMINISTRACIÓN</t>
  </si>
  <si>
    <t xml:space="preserve">TOTAL AÑO </t>
  </si>
  <si>
    <t>DIRECTORES</t>
  </si>
  <si>
    <t>CAP. MAX. AÑO</t>
  </si>
  <si>
    <t>TOTAL VENTA</t>
  </si>
  <si>
    <t xml:space="preserve">TOTAL VENTAS AÑO 1 </t>
  </si>
  <si>
    <t>TOTAL VENTAS CAP. MAX</t>
  </si>
  <si>
    <t>CAPACIDAD MAX. AÑO</t>
  </si>
  <si>
    <t xml:space="preserve">Depreciaciones </t>
  </si>
  <si>
    <t>4 AÑOS</t>
  </si>
  <si>
    <t xml:space="preserve">4 AÑOS </t>
  </si>
  <si>
    <t>VENTAS - DEPRECIACIONES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</si>
</sst>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\ #,##0_);[Red]\(&quot;$&quot;\ #,##0\)"/>
    <numFmt numFmtId="164" formatCode="&quot;$&quot;#,##0.00;[Red]\-&quot;$&quot;#,##0.00"/>
    <numFmt numFmtId="165" formatCode="_-&quot;$&quot;* #,##0_-;\-&quot;$&quot;* #,##0_-;_-&quot;$&quot;* &quot;-&quot;_-;_-@_-"/>
    <numFmt numFmtId="166" formatCode="_-* #,##0_-;\-* #,##0_-;_-* &quot;-&quot;_-;_-@_-"/>
    <numFmt numFmtId="167" formatCode="_-* #,##0.00_-;\-* #,##0.00_-;_-* &quot;-&quot;??_-;_-@_-"/>
    <numFmt numFmtId="168" formatCode="&quot;$&quot;\ #,##0;[Red]\-&quot;$&quot;\ #,##0"/>
    <numFmt numFmtId="169" formatCode="0.0%"/>
    <numFmt numFmtId="170" formatCode="_-* #,##0.00_-;\-* #,##0.00_-;_-* &quot;-&quot;_-;_-@_-"/>
    <numFmt numFmtId="171" formatCode="_-* #,##0.000_-;\-* #,##0.000_-;_-* &quot;-&quot;_-;_-@_-"/>
    <numFmt numFmtId="172" formatCode="0.0"/>
    <numFmt numFmtId="173" formatCode="_-* #,##0_-;\-* #,##0_-;_-* &quot;-&quot;??_-;_-@_-"/>
    <numFmt numFmtId="174" formatCode="0.000%"/>
    <numFmt numFmtId="175" formatCode="_-* #,##0.000_-;\-* #,##0.000_-;_-* &quot;-&quot;???_-;_-@_-"/>
    <numFmt numFmtId="176" formatCode="0_);[Red]\(0\)"/>
    <numFmt numFmtId="177" formatCode="_-* #,##0.00\ _€_-;\-* #,##0.00\ _€_-;_-* &quot;-&quot;??\ _€_-;_-@_-"/>
    <numFmt numFmtId="178" formatCode="_-* #,##0\ _€_-;\-* #,##0\ _€_-;_-* &quot;-&quot;??\ _€_-;_-@_-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Calibri"/>
      <family val="2"/>
    </font>
    <font>
      <b/>
      <sz val="16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b/>
      <sz val="20"/>
      <name val="Trebuchet MS"/>
      <family val="2"/>
    </font>
    <font>
      <b/>
      <u/>
      <sz val="12"/>
      <color theme="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80">
    <xf numFmtId="0" fontId="0" fillId="0" borderId="0"/>
    <xf numFmtId="166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211">
    <xf numFmtId="0" fontId="0" fillId="0" borderId="0" xfId="0"/>
    <xf numFmtId="166" fontId="0" fillId="0" borderId="0" xfId="1" applyFont="1"/>
    <xf numFmtId="166" fontId="0" fillId="0" borderId="0" xfId="0" applyNumberFormat="1"/>
    <xf numFmtId="9" fontId="0" fillId="0" borderId="0" xfId="0" applyNumberFormat="1"/>
    <xf numFmtId="0" fontId="5" fillId="0" borderId="1" xfId="0" applyFont="1" applyBorder="1"/>
    <xf numFmtId="166" fontId="0" fillId="0" borderId="1" xfId="1" applyFont="1" applyBorder="1"/>
    <xf numFmtId="0" fontId="0" fillId="0" borderId="1" xfId="0" applyBorder="1"/>
    <xf numFmtId="166" fontId="5" fillId="0" borderId="1" xfId="0" applyNumberFormat="1" applyFont="1" applyBorder="1"/>
    <xf numFmtId="0" fontId="0" fillId="0" borderId="1" xfId="0" applyFill="1" applyBorder="1"/>
    <xf numFmtId="0" fontId="0" fillId="3" borderId="0" xfId="0" applyFill="1"/>
    <xf numFmtId="0" fontId="0" fillId="3" borderId="1" xfId="0" applyFill="1" applyBorder="1"/>
    <xf numFmtId="166" fontId="0" fillId="3" borderId="0" xfId="1" applyFont="1" applyFill="1"/>
    <xf numFmtId="166" fontId="0" fillId="3" borderId="1" xfId="0" applyNumberFormat="1" applyFill="1" applyBorder="1"/>
    <xf numFmtId="9" fontId="0" fillId="0" borderId="1" xfId="0" applyNumberFormat="1" applyBorder="1"/>
    <xf numFmtId="0" fontId="9" fillId="0" borderId="1" xfId="0" applyFont="1" applyBorder="1" applyAlignment="1">
      <alignment horizontal="center"/>
    </xf>
    <xf numFmtId="166" fontId="0" fillId="0" borderId="1" xfId="0" applyNumberFormat="1" applyBorder="1"/>
    <xf numFmtId="10" fontId="0" fillId="0" borderId="1" xfId="126" applyNumberFormat="1" applyFont="1" applyBorder="1"/>
    <xf numFmtId="10" fontId="5" fillId="0" borderId="1" xfId="0" applyNumberFormat="1" applyFont="1" applyBorder="1"/>
    <xf numFmtId="10" fontId="0" fillId="0" borderId="1" xfId="0" applyNumberFormat="1" applyBorder="1"/>
    <xf numFmtId="10" fontId="0" fillId="0" borderId="0" xfId="126" applyNumberFormat="1" applyFont="1"/>
    <xf numFmtId="169" fontId="0" fillId="0" borderId="1" xfId="0" applyNumberFormat="1" applyBorder="1"/>
    <xf numFmtId="9" fontId="0" fillId="0" borderId="0" xfId="126" applyFont="1"/>
    <xf numFmtId="0" fontId="9" fillId="0" borderId="0" xfId="0" applyFont="1" applyAlignment="1">
      <alignment horizontal="center"/>
    </xf>
    <xf numFmtId="9" fontId="10" fillId="0" borderId="0" xfId="0" applyNumberFormat="1" applyFont="1"/>
    <xf numFmtId="0" fontId="0" fillId="2" borderId="0" xfId="0" applyFill="1"/>
    <xf numFmtId="164" fontId="0" fillId="0" borderId="0" xfId="0" applyNumberFormat="1"/>
    <xf numFmtId="164" fontId="0" fillId="0" borderId="1" xfId="0" applyNumberFormat="1" applyBorder="1"/>
    <xf numFmtId="164" fontId="0" fillId="0" borderId="1" xfId="1" applyNumberFormat="1" applyFont="1" applyBorder="1"/>
    <xf numFmtId="9" fontId="0" fillId="0" borderId="0" xfId="0" applyNumberFormat="1" applyFill="1"/>
    <xf numFmtId="0" fontId="0" fillId="0" borderId="0" xfId="0" applyFill="1"/>
    <xf numFmtId="166" fontId="0" fillId="0" borderId="0" xfId="0" applyNumberFormat="1" applyFill="1"/>
    <xf numFmtId="0" fontId="5" fillId="0" borderId="2" xfId="0" applyFont="1" applyFill="1" applyBorder="1"/>
    <xf numFmtId="9" fontId="5" fillId="0" borderId="1" xfId="0" applyNumberFormat="1" applyFont="1" applyFill="1" applyBorder="1"/>
    <xf numFmtId="166" fontId="5" fillId="0" borderId="1" xfId="0" applyNumberFormat="1" applyFont="1" applyFill="1" applyBorder="1"/>
    <xf numFmtId="0" fontId="5" fillId="0" borderId="0" xfId="0" applyFont="1" applyFill="1"/>
    <xf numFmtId="166" fontId="5" fillId="0" borderId="0" xfId="1" applyFont="1" applyFill="1"/>
    <xf numFmtId="166" fontId="5" fillId="0" borderId="0" xfId="0" applyNumberFormat="1" applyFont="1" applyFill="1"/>
    <xf numFmtId="0" fontId="5" fillId="0" borderId="1" xfId="0" applyFont="1" applyFill="1" applyBorder="1"/>
    <xf numFmtId="166" fontId="0" fillId="0" borderId="0" xfId="1" applyFont="1" applyFill="1"/>
    <xf numFmtId="0" fontId="8" fillId="0" borderId="1" xfId="0" applyFont="1" applyFill="1" applyBorder="1"/>
    <xf numFmtId="170" fontId="0" fillId="0" borderId="0" xfId="0" applyNumberFormat="1" applyFill="1"/>
    <xf numFmtId="10" fontId="0" fillId="0" borderId="0" xfId="126" applyNumberFormat="1" applyFont="1" applyFill="1"/>
    <xf numFmtId="9" fontId="0" fillId="0" borderId="0" xfId="126" applyFont="1" applyFill="1"/>
    <xf numFmtId="168" fontId="0" fillId="0" borderId="1" xfId="0" applyNumberFormat="1" applyBorder="1"/>
    <xf numFmtId="169" fontId="0" fillId="0" borderId="3" xfId="0" applyNumberFormat="1" applyBorder="1"/>
    <xf numFmtId="164" fontId="0" fillId="0" borderId="3" xfId="0" applyNumberFormat="1" applyBorder="1"/>
    <xf numFmtId="9" fontId="5" fillId="0" borderId="0" xfId="0" applyNumberFormat="1" applyFont="1" applyFill="1"/>
    <xf numFmtId="173" fontId="0" fillId="0" borderId="0" xfId="0" applyNumberFormat="1" applyFill="1"/>
    <xf numFmtId="9" fontId="0" fillId="0" borderId="4" xfId="0" applyNumberFormat="1" applyFill="1" applyBorder="1"/>
    <xf numFmtId="0" fontId="0" fillId="0" borderId="5" xfId="0" applyFill="1" applyBorder="1"/>
    <xf numFmtId="0" fontId="0" fillId="0" borderId="6" xfId="0" applyFill="1" applyBorder="1"/>
    <xf numFmtId="171" fontId="0" fillId="0" borderId="0" xfId="0" applyNumberFormat="1" applyFill="1"/>
    <xf numFmtId="169" fontId="0" fillId="0" borderId="0" xfId="0" applyNumberFormat="1"/>
    <xf numFmtId="174" fontId="0" fillId="0" borderId="0" xfId="0" applyNumberFormat="1"/>
    <xf numFmtId="166" fontId="11" fillId="0" borderId="0" xfId="1" applyFont="1"/>
    <xf numFmtId="0" fontId="11" fillId="0" borderId="0" xfId="0" applyFont="1"/>
    <xf numFmtId="166" fontId="11" fillId="0" borderId="0" xfId="0" applyNumberFormat="1" applyFont="1"/>
    <xf numFmtId="166" fontId="11" fillId="0" borderId="7" xfId="1" applyFont="1" applyFill="1" applyBorder="1"/>
    <xf numFmtId="10" fontId="11" fillId="0" borderId="0" xfId="1" applyNumberFormat="1" applyFont="1"/>
    <xf numFmtId="164" fontId="11" fillId="0" borderId="0" xfId="1" applyNumberFormat="1" applyFont="1"/>
    <xf numFmtId="164" fontId="12" fillId="0" borderId="0" xfId="1" applyNumberFormat="1" applyFont="1" applyFill="1"/>
    <xf numFmtId="10" fontId="0" fillId="0" borderId="0" xfId="0" applyNumberFormat="1" applyFill="1"/>
    <xf numFmtId="164" fontId="0" fillId="0" borderId="0" xfId="0" applyNumberFormat="1" applyFill="1"/>
    <xf numFmtId="0" fontId="9" fillId="0" borderId="0" xfId="0" applyFont="1" applyFill="1"/>
    <xf numFmtId="164" fontId="0" fillId="3" borderId="0" xfId="0" applyNumberFormat="1" applyFill="1"/>
    <xf numFmtId="0" fontId="5" fillId="0" borderId="0" xfId="0" applyFont="1"/>
    <xf numFmtId="0" fontId="9" fillId="0" borderId="0" xfId="0" applyFont="1"/>
    <xf numFmtId="166" fontId="5" fillId="0" borderId="0" xfId="0" applyNumberFormat="1" applyFont="1"/>
    <xf numFmtId="167" fontId="0" fillId="0" borderId="0" xfId="0" applyNumberFormat="1" applyFill="1"/>
    <xf numFmtId="0" fontId="14" fillId="0" borderId="0" xfId="0" applyFont="1"/>
    <xf numFmtId="0" fontId="14" fillId="0" borderId="0" xfId="0" applyFont="1" applyFill="1" applyBorder="1"/>
    <xf numFmtId="10" fontId="14" fillId="0" borderId="0" xfId="0" applyNumberFormat="1" applyFont="1" applyBorder="1"/>
    <xf numFmtId="10" fontId="14" fillId="0" borderId="0" xfId="126" applyNumberFormat="1" applyFont="1"/>
    <xf numFmtId="10" fontId="14" fillId="0" borderId="0" xfId="0" applyNumberFormat="1" applyFont="1"/>
    <xf numFmtId="1" fontId="14" fillId="0" borderId="0" xfId="0" applyNumberFormat="1" applyFont="1"/>
    <xf numFmtId="0" fontId="13" fillId="4" borderId="8" xfId="0" applyFont="1" applyFill="1" applyBorder="1"/>
    <xf numFmtId="0" fontId="13" fillId="4" borderId="8" xfId="0" applyFont="1" applyFill="1" applyBorder="1" applyAlignment="1">
      <alignment horizontal="center"/>
    </xf>
    <xf numFmtId="0" fontId="14" fillId="0" borderId="8" xfId="0" applyFont="1" applyBorder="1"/>
    <xf numFmtId="10" fontId="14" fillId="0" borderId="8" xfId="0" applyNumberFormat="1" applyFont="1" applyBorder="1" applyAlignment="1">
      <alignment horizontal="center" vertical="center"/>
    </xf>
    <xf numFmtId="10" fontId="14" fillId="0" borderId="8" xfId="126" applyNumberFormat="1" applyFont="1" applyBorder="1" applyAlignment="1">
      <alignment horizontal="center" vertical="center"/>
    </xf>
    <xf numFmtId="10" fontId="14" fillId="0" borderId="8" xfId="126" applyNumberFormat="1" applyFont="1" applyFill="1" applyBorder="1"/>
    <xf numFmtId="10" fontId="14" fillId="0" borderId="8" xfId="126" applyNumberFormat="1" applyFont="1" applyFill="1" applyBorder="1" applyAlignment="1">
      <alignment horizontal="center" vertical="center"/>
    </xf>
    <xf numFmtId="0" fontId="14" fillId="0" borderId="8" xfId="0" applyFont="1" applyFill="1" applyBorder="1"/>
    <xf numFmtId="0" fontId="14" fillId="0" borderId="8" xfId="0" applyFont="1" applyBorder="1" applyAlignment="1">
      <alignment horizontal="center" vertical="center"/>
    </xf>
    <xf numFmtId="1" fontId="14" fillId="0" borderId="8" xfId="1" applyNumberFormat="1" applyFont="1" applyBorder="1" applyAlignment="1">
      <alignment horizontal="center" vertical="center"/>
    </xf>
    <xf numFmtId="172" fontId="14" fillId="0" borderId="8" xfId="0" applyNumberFormat="1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9" fontId="14" fillId="0" borderId="8" xfId="0" applyNumberFormat="1" applyFont="1" applyBorder="1" applyAlignment="1">
      <alignment horizontal="center" vertical="center"/>
    </xf>
    <xf numFmtId="0" fontId="14" fillId="3" borderId="8" xfId="0" applyFont="1" applyFill="1" applyBorder="1"/>
    <xf numFmtId="4" fontId="14" fillId="3" borderId="8" xfId="1" applyNumberFormat="1" applyFont="1" applyFill="1" applyBorder="1" applyAlignment="1">
      <alignment horizontal="center" vertical="center"/>
    </xf>
    <xf numFmtId="4" fontId="14" fillId="3" borderId="8" xfId="126" applyNumberFormat="1" applyFont="1" applyFill="1" applyBorder="1" applyAlignment="1">
      <alignment horizontal="center" vertical="center"/>
    </xf>
    <xf numFmtId="10" fontId="14" fillId="3" borderId="8" xfId="126" applyNumberFormat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>
      <alignment horizontal="center" vertical="center"/>
    </xf>
    <xf numFmtId="9" fontId="14" fillId="3" borderId="8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5" fillId="4" borderId="8" xfId="0" applyFont="1" applyFill="1" applyBorder="1"/>
    <xf numFmtId="0" fontId="15" fillId="4" borderId="8" xfId="0" applyFont="1" applyFill="1" applyBorder="1" applyAlignment="1">
      <alignment horizontal="center"/>
    </xf>
    <xf numFmtId="0" fontId="0" fillId="3" borderId="8" xfId="0" applyFill="1" applyBorder="1"/>
    <xf numFmtId="3" fontId="0" fillId="3" borderId="8" xfId="1" applyNumberFormat="1" applyFont="1" applyFill="1" applyBorder="1" applyAlignment="1">
      <alignment horizontal="center"/>
    </xf>
    <xf numFmtId="6" fontId="0" fillId="3" borderId="8" xfId="1" applyNumberFormat="1" applyFont="1" applyFill="1" applyBorder="1" applyAlignment="1">
      <alignment horizontal="center"/>
    </xf>
    <xf numFmtId="166" fontId="0" fillId="3" borderId="8" xfId="1" applyFont="1" applyFill="1" applyBorder="1"/>
    <xf numFmtId="166" fontId="0" fillId="3" borderId="8" xfId="0" applyNumberFormat="1" applyFill="1" applyBorder="1"/>
    <xf numFmtId="0" fontId="11" fillId="4" borderId="8" xfId="0" applyFont="1" applyFill="1" applyBorder="1"/>
    <xf numFmtId="3" fontId="0" fillId="3" borderId="8" xfId="0" applyNumberFormat="1" applyFill="1" applyBorder="1"/>
    <xf numFmtId="3" fontId="5" fillId="3" borderId="8" xfId="0" applyNumberFormat="1" applyFont="1" applyFill="1" applyBorder="1"/>
    <xf numFmtId="0" fontId="0" fillId="3" borderId="8" xfId="0" applyFill="1" applyBorder="1" applyAlignment="1">
      <alignment horizontal="center"/>
    </xf>
    <xf numFmtId="6" fontId="0" fillId="3" borderId="8" xfId="0" applyNumberFormat="1" applyFill="1" applyBorder="1" applyAlignment="1">
      <alignment horizontal="center"/>
    </xf>
    <xf numFmtId="0" fontId="15" fillId="4" borderId="8" xfId="0" applyFont="1" applyFill="1" applyBorder="1" applyAlignment="1">
      <alignment horizontal="left"/>
    </xf>
    <xf numFmtId="6" fontId="0" fillId="0" borderId="8" xfId="1" applyNumberFormat="1" applyFont="1" applyBorder="1" applyAlignment="1">
      <alignment horizontal="center"/>
    </xf>
    <xf numFmtId="6" fontId="0" fillId="0" borderId="1" xfId="0" applyNumberFormat="1" applyBorder="1"/>
    <xf numFmtId="6" fontId="0" fillId="0" borderId="1" xfId="0" applyNumberFormat="1" applyBorder="1" applyAlignment="1">
      <alignment horizontal="left"/>
    </xf>
    <xf numFmtId="6" fontId="0" fillId="0" borderId="1" xfId="1" applyNumberFormat="1" applyFont="1" applyBorder="1" applyAlignment="1">
      <alignment horizontal="left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0" fillId="0" borderId="1" xfId="1" applyNumberFormat="1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76" fontId="15" fillId="4" borderId="1" xfId="0" applyNumberFormat="1" applyFont="1" applyFill="1" applyBorder="1" applyAlignment="1">
      <alignment horizontal="center"/>
    </xf>
    <xf numFmtId="166" fontId="0" fillId="2" borderId="1" xfId="0" applyNumberFormat="1" applyFill="1" applyBorder="1"/>
    <xf numFmtId="6" fontId="0" fillId="0" borderId="1" xfId="0" applyNumberFormat="1" applyFill="1" applyBorder="1" applyAlignment="1">
      <alignment horizontal="left"/>
    </xf>
    <xf numFmtId="6" fontId="0" fillId="0" borderId="1" xfId="1" applyNumberFormat="1" applyFont="1" applyFill="1" applyBorder="1" applyAlignment="1">
      <alignment horizontal="left"/>
    </xf>
    <xf numFmtId="6" fontId="11" fillId="4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/>
    <xf numFmtId="6" fontId="0" fillId="0" borderId="0" xfId="0" applyNumberFormat="1" applyBorder="1" applyAlignment="1">
      <alignment horizontal="left"/>
    </xf>
    <xf numFmtId="0" fontId="0" fillId="0" borderId="0" xfId="0" applyFill="1" applyBorder="1"/>
    <xf numFmtId="6" fontId="0" fillId="0" borderId="0" xfId="0" applyNumberFormat="1"/>
    <xf numFmtId="6" fontId="0" fillId="0" borderId="0" xfId="0" applyNumberFormat="1" applyFill="1"/>
    <xf numFmtId="0" fontId="20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10" fontId="22" fillId="0" borderId="1" xfId="126" applyNumberFormat="1" applyFont="1" applyBorder="1" applyAlignment="1">
      <alignment horizontal="center" vertical="center"/>
    </xf>
    <xf numFmtId="10" fontId="22" fillId="3" borderId="1" xfId="126" applyNumberFormat="1" applyFont="1" applyFill="1" applyBorder="1" applyAlignment="1">
      <alignment horizontal="center" vertical="center"/>
    </xf>
    <xf numFmtId="0" fontId="22" fillId="0" borderId="1" xfId="0" applyFont="1" applyBorder="1" applyAlignment="1"/>
    <xf numFmtId="178" fontId="22" fillId="0" borderId="1" xfId="1045" applyNumberFormat="1" applyFont="1" applyBorder="1" applyAlignment="1">
      <alignment vertical="center"/>
    </xf>
    <xf numFmtId="0" fontId="22" fillId="0" borderId="14" xfId="0" applyFont="1" applyBorder="1" applyAlignment="1">
      <alignment wrapText="1"/>
    </xf>
    <xf numFmtId="0" fontId="23" fillId="0" borderId="14" xfId="0" applyFont="1" applyBorder="1" applyAlignment="1">
      <alignment horizontal="center"/>
    </xf>
    <xf numFmtId="177" fontId="22" fillId="0" borderId="14" xfId="1045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0" fillId="7" borderId="9" xfId="0" applyFont="1" applyFill="1" applyBorder="1" applyAlignment="1">
      <alignment horizontal="left" vertical="center"/>
    </xf>
    <xf numFmtId="10" fontId="22" fillId="0" borderId="1" xfId="0" applyNumberFormat="1" applyFont="1" applyBorder="1" applyAlignment="1">
      <alignment horizontal="center" vertical="center"/>
    </xf>
    <xf numFmtId="10" fontId="22" fillId="0" borderId="14" xfId="126" applyNumberFormat="1" applyFont="1" applyBorder="1" applyAlignment="1">
      <alignment horizontal="center" vertical="center"/>
    </xf>
    <xf numFmtId="10" fontId="22" fillId="0" borderId="21" xfId="126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3" fontId="0" fillId="3" borderId="8" xfId="0" applyNumberFormat="1" applyFont="1" applyFill="1" applyBorder="1"/>
    <xf numFmtId="3" fontId="0" fillId="3" borderId="8" xfId="0" applyNumberFormat="1" applyFont="1" applyFill="1" applyBorder="1" applyAlignment="1">
      <alignment horizontal="center"/>
    </xf>
    <xf numFmtId="0" fontId="15" fillId="8" borderId="8" xfId="0" applyFont="1" applyFill="1" applyBorder="1"/>
    <xf numFmtId="6" fontId="15" fillId="8" borderId="8" xfId="0" applyNumberFormat="1" applyFont="1" applyFill="1" applyBorder="1" applyAlignment="1">
      <alignment horizontal="center"/>
    </xf>
    <xf numFmtId="166" fontId="15" fillId="8" borderId="8" xfId="0" applyNumberFormat="1" applyFont="1" applyFill="1" applyBorder="1"/>
    <xf numFmtId="0" fontId="15" fillId="8" borderId="1" xfId="0" applyFont="1" applyFill="1" applyBorder="1"/>
    <xf numFmtId="6" fontId="15" fillId="8" borderId="1" xfId="1" applyNumberFormat="1" applyFont="1" applyFill="1" applyBorder="1" applyAlignment="1">
      <alignment horizontal="left"/>
    </xf>
    <xf numFmtId="6" fontId="15" fillId="8" borderId="1" xfId="0" applyNumberFormat="1" applyFont="1" applyFill="1" applyBorder="1" applyAlignment="1">
      <alignment horizontal="left"/>
    </xf>
    <xf numFmtId="0" fontId="15" fillId="8" borderId="8" xfId="0" applyFont="1" applyFill="1" applyBorder="1" applyAlignment="1">
      <alignment horizontal="center"/>
    </xf>
    <xf numFmtId="166" fontId="11" fillId="8" borderId="8" xfId="1" applyFont="1" applyFill="1" applyBorder="1"/>
    <xf numFmtId="0" fontId="11" fillId="8" borderId="8" xfId="0" applyFont="1" applyFill="1" applyBorder="1"/>
    <xf numFmtId="6" fontId="11" fillId="8" borderId="8" xfId="0" applyNumberFormat="1" applyFont="1" applyFill="1" applyBorder="1" applyAlignment="1">
      <alignment horizontal="center"/>
    </xf>
    <xf numFmtId="6" fontId="11" fillId="8" borderId="8" xfId="1" applyNumberFormat="1" applyFont="1" applyFill="1" applyBorder="1" applyAlignment="1">
      <alignment horizontal="center"/>
    </xf>
    <xf numFmtId="6" fontId="11" fillId="8" borderId="8" xfId="0" applyNumberFormat="1" applyFont="1" applyFill="1" applyBorder="1"/>
    <xf numFmtId="6" fontId="0" fillId="0" borderId="0" xfId="126" applyNumberFormat="1" applyFont="1" applyAlignment="1">
      <alignment horizontal="left" indent="5"/>
    </xf>
    <xf numFmtId="165" fontId="0" fillId="3" borderId="8" xfId="1046" applyFont="1" applyFill="1" applyBorder="1" applyAlignment="1">
      <alignment horizontal="center"/>
    </xf>
    <xf numFmtId="0" fontId="15" fillId="8" borderId="0" xfId="0" applyFont="1" applyFill="1"/>
    <xf numFmtId="165" fontId="15" fillId="8" borderId="0" xfId="1046" applyFont="1" applyFill="1"/>
    <xf numFmtId="165" fontId="15" fillId="8" borderId="8" xfId="1046" applyFont="1" applyFill="1" applyBorder="1" applyAlignment="1">
      <alignment horizontal="center"/>
    </xf>
    <xf numFmtId="6" fontId="15" fillId="8" borderId="1" xfId="0" applyNumberFormat="1" applyFont="1" applyFill="1" applyBorder="1"/>
    <xf numFmtId="166" fontId="15" fillId="8" borderId="1" xfId="0" applyNumberFormat="1" applyFont="1" applyFill="1" applyBorder="1"/>
    <xf numFmtId="0" fontId="11" fillId="8" borderId="1" xfId="0" applyFont="1" applyFill="1" applyBorder="1"/>
    <xf numFmtId="6" fontId="11" fillId="8" borderId="1" xfId="0" applyNumberFormat="1" applyFont="1" applyFill="1" applyBorder="1" applyAlignment="1">
      <alignment horizontal="left"/>
    </xf>
    <xf numFmtId="166" fontId="11" fillId="8" borderId="1" xfId="0" applyNumberFormat="1" applyFont="1" applyFill="1" applyBorder="1"/>
    <xf numFmtId="0" fontId="17" fillId="8" borderId="0" xfId="0" applyFont="1" applyFill="1"/>
    <xf numFmtId="0" fontId="16" fillId="8" borderId="0" xfId="0" applyFont="1" applyFill="1"/>
    <xf numFmtId="0" fontId="22" fillId="9" borderId="12" xfId="0" applyFont="1" applyFill="1" applyBorder="1" applyAlignment="1">
      <alignment horizontal="left" vertical="center"/>
    </xf>
    <xf numFmtId="0" fontId="22" fillId="9" borderId="20" xfId="0" applyFont="1" applyFill="1" applyBorder="1" applyAlignment="1">
      <alignment horizontal="left" vertical="center"/>
    </xf>
    <xf numFmtId="0" fontId="22" fillId="9" borderId="13" xfId="0" applyFont="1" applyFill="1" applyBorder="1" applyAlignment="1">
      <alignment horizontal="left" vertical="center"/>
    </xf>
    <xf numFmtId="6" fontId="15" fillId="8" borderId="1" xfId="0" applyNumberFormat="1" applyFont="1" applyFill="1" applyBorder="1" applyAlignment="1">
      <alignment horizontal="center"/>
    </xf>
    <xf numFmtId="6" fontId="15" fillId="8" borderId="1" xfId="1" applyNumberFormat="1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165" fontId="0" fillId="0" borderId="1" xfId="1046" applyFont="1" applyBorder="1"/>
    <xf numFmtId="0" fontId="28" fillId="8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166" fontId="0" fillId="3" borderId="1" xfId="1079" applyFont="1" applyFill="1" applyBorder="1"/>
    <xf numFmtId="166" fontId="0" fillId="0" borderId="0" xfId="1079" applyFont="1"/>
    <xf numFmtId="166" fontId="0" fillId="0" borderId="0" xfId="1079" applyFont="1" applyFill="1"/>
    <xf numFmtId="166" fontId="0" fillId="0" borderId="1" xfId="1079" applyFont="1" applyBorder="1"/>
    <xf numFmtId="166" fontId="15" fillId="8" borderId="1" xfId="1079" applyFont="1" applyFill="1" applyBorder="1"/>
    <xf numFmtId="9" fontId="15" fillId="8" borderId="0" xfId="0" applyNumberFormat="1" applyFont="1" applyFill="1"/>
    <xf numFmtId="9" fontId="28" fillId="8" borderId="0" xfId="0" applyNumberFormat="1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166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9" fontId="0" fillId="3" borderId="1" xfId="0" applyNumberFormat="1" applyFill="1" applyBorder="1" applyAlignment="1">
      <alignment horizontal="right"/>
    </xf>
    <xf numFmtId="175" fontId="0" fillId="3" borderId="1" xfId="0" applyNumberFormat="1" applyFill="1" applyBorder="1" applyAlignment="1">
      <alignment horizontal="right"/>
    </xf>
    <xf numFmtId="166" fontId="0" fillId="3" borderId="0" xfId="0" applyNumberFormat="1" applyFill="1" applyAlignment="1">
      <alignment horizontal="right"/>
    </xf>
    <xf numFmtId="166" fontId="5" fillId="0" borderId="0" xfId="0" applyNumberFormat="1" applyFont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08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Millares" xfId="1045" builtinId="3"/>
    <cellStyle name="Millares [0]" xfId="1" builtinId="6"/>
    <cellStyle name="Millares [0] 2" xfId="1079"/>
    <cellStyle name="Moneda [0]" xfId="1046" builtinId="7"/>
    <cellStyle name="Normal" xfId="0" builtinId="0"/>
    <cellStyle name="Porcentaje" xfId="12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="98" zoomScaleNormal="98" zoomScalePageLayoutView="98" workbookViewId="0">
      <selection activeCell="J10" sqref="J10"/>
    </sheetView>
  </sheetViews>
  <sheetFormatPr baseColWidth="10" defaultColWidth="10.875" defaultRowHeight="12.75" x14ac:dyDescent="0.2"/>
  <cols>
    <col min="1" max="1" width="32.5" style="69" bestFit="1" customWidth="1"/>
    <col min="2" max="16384" width="10.875" style="69"/>
  </cols>
  <sheetData>
    <row r="1" spans="1:9" x14ac:dyDescent="0.2">
      <c r="A1" s="75" t="s">
        <v>163</v>
      </c>
      <c r="B1" s="76">
        <f>'FLUJO DE CAJA LIBRE'!B1</f>
        <v>2017</v>
      </c>
      <c r="C1" s="76">
        <f>'FLUJO DE CAJA LIBRE'!C1</f>
        <v>2018</v>
      </c>
      <c r="D1" s="76">
        <f>'FLUJO DE CAJA LIBRE'!D1</f>
        <v>2019</v>
      </c>
      <c r="E1" s="76">
        <f>'FLUJO DE CAJA LIBRE'!E1</f>
        <v>2020</v>
      </c>
      <c r="F1" s="76">
        <f>'FLUJO DE CAJA LIBRE'!F1</f>
        <v>2021</v>
      </c>
      <c r="G1" s="76">
        <f>'FLUJO DE CAJA LIBRE'!G1</f>
        <v>2022</v>
      </c>
    </row>
    <row r="2" spans="1:9" x14ac:dyDescent="0.2">
      <c r="A2" s="77" t="s">
        <v>83</v>
      </c>
      <c r="B2" s="78">
        <v>5.7500000000000002E-2</v>
      </c>
      <c r="C2" s="78">
        <v>0.03</v>
      </c>
      <c r="D2" s="78">
        <v>3.9E-2</v>
      </c>
      <c r="E2" s="78">
        <v>3.6999999999999998E-2</v>
      </c>
      <c r="F2" s="78">
        <f>+E2</f>
        <v>3.6999999999999998E-2</v>
      </c>
      <c r="G2" s="78">
        <f>+F2</f>
        <v>3.6999999999999998E-2</v>
      </c>
    </row>
    <row r="3" spans="1:9" x14ac:dyDescent="0.2">
      <c r="A3" s="77" t="s">
        <v>84</v>
      </c>
      <c r="B3" s="78">
        <v>2.1600000000000001E-2</v>
      </c>
      <c r="C3" s="78">
        <v>2.1000000000000001E-2</v>
      </c>
      <c r="D3" s="78">
        <v>1.9800000000000002E-2</v>
      </c>
      <c r="E3" s="78">
        <f>+D3</f>
        <v>1.9800000000000002E-2</v>
      </c>
      <c r="F3" s="78">
        <f t="shared" ref="F3:G3" si="0">+E3</f>
        <v>1.9800000000000002E-2</v>
      </c>
      <c r="G3" s="78">
        <f t="shared" si="0"/>
        <v>1.9800000000000002E-2</v>
      </c>
    </row>
    <row r="4" spans="1:9" x14ac:dyDescent="0.2">
      <c r="A4" s="77" t="s">
        <v>85</v>
      </c>
      <c r="B4" s="78">
        <v>0.02</v>
      </c>
      <c r="C4" s="78">
        <v>2.5999999999999999E-2</v>
      </c>
      <c r="D4" s="78">
        <v>0.03</v>
      </c>
      <c r="E4" s="78">
        <f>+D4</f>
        <v>0.03</v>
      </c>
      <c r="F4" s="78">
        <f t="shared" ref="F4:G4" si="1">+E4</f>
        <v>0.03</v>
      </c>
      <c r="G4" s="78">
        <f t="shared" si="1"/>
        <v>0.03</v>
      </c>
      <c r="I4" s="74"/>
    </row>
    <row r="5" spans="1:9" x14ac:dyDescent="0.2">
      <c r="A5" s="77" t="s">
        <v>86</v>
      </c>
      <c r="B5" s="78">
        <v>7.0000000000000007E-2</v>
      </c>
      <c r="C5" s="79">
        <v>5.3999999999999999E-2</v>
      </c>
      <c r="D5" s="79">
        <v>5.1999999999999998E-2</v>
      </c>
      <c r="E5" s="79">
        <f t="shared" ref="E5:G5" si="2">+E2+1.5%</f>
        <v>5.1999999999999998E-2</v>
      </c>
      <c r="F5" s="79">
        <f t="shared" si="2"/>
        <v>5.1999999999999998E-2</v>
      </c>
      <c r="G5" s="79">
        <f t="shared" si="2"/>
        <v>5.1999999999999998E-2</v>
      </c>
    </row>
    <row r="6" spans="1:9" x14ac:dyDescent="0.2">
      <c r="A6" s="80" t="s">
        <v>149</v>
      </c>
      <c r="B6" s="81">
        <v>5.3800000000000001E-2</v>
      </c>
      <c r="C6" s="79">
        <f>+(1+(C2-B2)/B2)*B6</f>
        <v>2.8069565217391304E-2</v>
      </c>
      <c r="D6" s="79">
        <f>+(1+(D2-C2)/C2)*C6</f>
        <v>3.6490434782608695E-2</v>
      </c>
      <c r="E6" s="79">
        <f>+(1+(E2-D2)/D2)*D6</f>
        <v>3.4619130434782604E-2</v>
      </c>
      <c r="F6" s="79">
        <f>+(1+(F2-E2)/E2)*E6</f>
        <v>3.4619130434782604E-2</v>
      </c>
      <c r="G6" s="79">
        <f>+(1+(G2-F2)/F2)*F6</f>
        <v>3.4619130434782604E-2</v>
      </c>
    </row>
    <row r="7" spans="1:9" x14ac:dyDescent="0.2">
      <c r="A7" s="82" t="s">
        <v>176</v>
      </c>
      <c r="B7" s="78">
        <v>7.0000000000000007E-2</v>
      </c>
      <c r="C7" s="78">
        <f>+B7</f>
        <v>7.0000000000000007E-2</v>
      </c>
      <c r="D7" s="78">
        <f t="shared" ref="D7:G7" si="3">+C7</f>
        <v>7.0000000000000007E-2</v>
      </c>
      <c r="E7" s="78">
        <f t="shared" si="3"/>
        <v>7.0000000000000007E-2</v>
      </c>
      <c r="F7" s="78">
        <f t="shared" si="3"/>
        <v>7.0000000000000007E-2</v>
      </c>
      <c r="G7" s="78">
        <f t="shared" si="3"/>
        <v>7.0000000000000007E-2</v>
      </c>
    </row>
    <row r="8" spans="1:9" x14ac:dyDescent="0.2">
      <c r="A8" s="70"/>
      <c r="B8" s="71"/>
      <c r="C8" s="71"/>
      <c r="D8" s="71"/>
      <c r="E8" s="71"/>
      <c r="F8" s="71"/>
      <c r="G8" s="71"/>
    </row>
    <row r="9" spans="1:9" x14ac:dyDescent="0.2">
      <c r="A9" s="75" t="s">
        <v>88</v>
      </c>
      <c r="B9" s="76">
        <f t="shared" ref="B9:G9" si="4">+B1</f>
        <v>2017</v>
      </c>
      <c r="C9" s="76">
        <f t="shared" si="4"/>
        <v>2018</v>
      </c>
      <c r="D9" s="76">
        <f t="shared" si="4"/>
        <v>2019</v>
      </c>
      <c r="E9" s="76">
        <f t="shared" si="4"/>
        <v>2020</v>
      </c>
      <c r="F9" s="76">
        <f t="shared" si="4"/>
        <v>2021</v>
      </c>
      <c r="G9" s="76">
        <f t="shared" si="4"/>
        <v>2022</v>
      </c>
    </row>
    <row r="10" spans="1:9" x14ac:dyDescent="0.2">
      <c r="A10" s="77" t="s">
        <v>89</v>
      </c>
      <c r="B10" s="83">
        <v>6.3</v>
      </c>
      <c r="C10" s="83">
        <f>+B10</f>
        <v>6.3</v>
      </c>
      <c r="D10" s="83">
        <f t="shared" ref="D10:G10" si="5">+C10</f>
        <v>6.3</v>
      </c>
      <c r="E10" s="83">
        <f t="shared" si="5"/>
        <v>6.3</v>
      </c>
      <c r="F10" s="83">
        <f t="shared" si="5"/>
        <v>6.3</v>
      </c>
      <c r="G10" s="83">
        <f t="shared" si="5"/>
        <v>6.3</v>
      </c>
    </row>
    <row r="11" spans="1:9" x14ac:dyDescent="0.2">
      <c r="A11" s="77" t="s">
        <v>90</v>
      </c>
      <c r="B11" s="84">
        <v>30</v>
      </c>
      <c r="C11" s="84">
        <v>30</v>
      </c>
      <c r="D11" s="84">
        <v>30</v>
      </c>
      <c r="E11" s="84">
        <v>30</v>
      </c>
      <c r="F11" s="84">
        <v>30</v>
      </c>
      <c r="G11" s="84">
        <v>30</v>
      </c>
    </row>
    <row r="12" spans="1:9" x14ac:dyDescent="0.2">
      <c r="A12" s="77" t="s">
        <v>91</v>
      </c>
      <c r="B12" s="83">
        <v>4</v>
      </c>
      <c r="C12" s="83">
        <f>+B12</f>
        <v>4</v>
      </c>
      <c r="D12" s="83">
        <f t="shared" ref="D12:G12" si="6">+C12</f>
        <v>4</v>
      </c>
      <c r="E12" s="83">
        <f t="shared" si="6"/>
        <v>4</v>
      </c>
      <c r="F12" s="83">
        <f t="shared" si="6"/>
        <v>4</v>
      </c>
      <c r="G12" s="83">
        <f t="shared" si="6"/>
        <v>4</v>
      </c>
    </row>
    <row r="13" spans="1:9" x14ac:dyDescent="0.2">
      <c r="A13" s="77" t="s">
        <v>92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</row>
    <row r="14" spans="1:9" x14ac:dyDescent="0.2">
      <c r="A14" s="77" t="s">
        <v>93</v>
      </c>
      <c r="B14" s="83">
        <v>0</v>
      </c>
      <c r="C14" s="85">
        <v>0</v>
      </c>
      <c r="D14" s="85">
        <f t="shared" ref="D14:G14" si="7">+C14</f>
        <v>0</v>
      </c>
      <c r="E14" s="85">
        <f t="shared" si="7"/>
        <v>0</v>
      </c>
      <c r="F14" s="85">
        <f t="shared" si="7"/>
        <v>0</v>
      </c>
      <c r="G14" s="85">
        <f t="shared" si="7"/>
        <v>0</v>
      </c>
    </row>
    <row r="15" spans="1:9" x14ac:dyDescent="0.2">
      <c r="A15" s="77" t="s">
        <v>94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</row>
    <row r="17" spans="1:7" x14ac:dyDescent="0.2">
      <c r="A17" s="75" t="s">
        <v>102</v>
      </c>
      <c r="B17" s="86">
        <f t="shared" ref="B17:G17" si="8">+B9</f>
        <v>2017</v>
      </c>
      <c r="C17" s="86">
        <f t="shared" si="8"/>
        <v>2018</v>
      </c>
      <c r="D17" s="86">
        <f t="shared" si="8"/>
        <v>2019</v>
      </c>
      <c r="E17" s="86">
        <f t="shared" si="8"/>
        <v>2020</v>
      </c>
      <c r="F17" s="86">
        <f t="shared" si="8"/>
        <v>2021</v>
      </c>
      <c r="G17" s="86">
        <f t="shared" si="8"/>
        <v>2022</v>
      </c>
    </row>
    <row r="18" spans="1:7" x14ac:dyDescent="0.2">
      <c r="A18" s="77" t="s">
        <v>103</v>
      </c>
      <c r="B18" s="79">
        <f t="shared" ref="B18:G18" si="9">+(1+B2)*(1+B4)-1</f>
        <v>7.8650000000000109E-2</v>
      </c>
      <c r="C18" s="79">
        <f t="shared" si="9"/>
        <v>5.6780000000000053E-2</v>
      </c>
      <c r="D18" s="79">
        <f t="shared" si="9"/>
        <v>7.0169999999999844E-2</v>
      </c>
      <c r="E18" s="79">
        <f t="shared" si="9"/>
        <v>6.8109999999999893E-2</v>
      </c>
      <c r="F18" s="79">
        <f t="shared" si="9"/>
        <v>6.8109999999999893E-2</v>
      </c>
      <c r="G18" s="79">
        <f t="shared" si="9"/>
        <v>6.8109999999999893E-2</v>
      </c>
    </row>
    <row r="19" spans="1:7" x14ac:dyDescent="0.2">
      <c r="A19" s="77" t="s">
        <v>104</v>
      </c>
      <c r="B19" s="79">
        <f t="shared" ref="B19:G19" si="10">+(1+B3)*(1+B4)-1</f>
        <v>4.2032000000000069E-2</v>
      </c>
      <c r="C19" s="79">
        <f t="shared" si="10"/>
        <v>4.7545999999999866E-2</v>
      </c>
      <c r="D19" s="79">
        <f t="shared" si="10"/>
        <v>5.039400000000005E-2</v>
      </c>
      <c r="E19" s="79">
        <f t="shared" si="10"/>
        <v>5.039400000000005E-2</v>
      </c>
      <c r="F19" s="79">
        <f t="shared" si="10"/>
        <v>5.039400000000005E-2</v>
      </c>
      <c r="G19" s="79">
        <f t="shared" si="10"/>
        <v>5.039400000000005E-2</v>
      </c>
    </row>
    <row r="20" spans="1:7" x14ac:dyDescent="0.2">
      <c r="A20" s="77" t="s">
        <v>29</v>
      </c>
      <c r="B20" s="87">
        <v>0.34</v>
      </c>
      <c r="C20" s="87">
        <v>0.33</v>
      </c>
      <c r="D20" s="87">
        <f t="shared" ref="D20:G20" si="11">+C20</f>
        <v>0.33</v>
      </c>
      <c r="E20" s="87">
        <f t="shared" si="11"/>
        <v>0.33</v>
      </c>
      <c r="F20" s="87">
        <f t="shared" si="11"/>
        <v>0.33</v>
      </c>
      <c r="G20" s="87">
        <f t="shared" si="11"/>
        <v>0.33</v>
      </c>
    </row>
    <row r="21" spans="1:7" x14ac:dyDescent="0.2">
      <c r="A21" s="82" t="s">
        <v>105</v>
      </c>
      <c r="B21" s="87">
        <v>0</v>
      </c>
      <c r="C21" s="87">
        <f>+B21</f>
        <v>0</v>
      </c>
      <c r="D21" s="87">
        <f t="shared" ref="D21:G21" si="12">+C21</f>
        <v>0</v>
      </c>
      <c r="E21" s="87">
        <f t="shared" si="12"/>
        <v>0</v>
      </c>
      <c r="F21" s="87">
        <f t="shared" si="12"/>
        <v>0</v>
      </c>
      <c r="G21" s="87">
        <f t="shared" si="12"/>
        <v>0</v>
      </c>
    </row>
    <row r="22" spans="1:7" x14ac:dyDescent="0.2">
      <c r="A22" s="82" t="s">
        <v>9</v>
      </c>
      <c r="B22" s="78">
        <v>6.0000000000000001E-3</v>
      </c>
      <c r="C22" s="78">
        <f>+B22*(1+C2)</f>
        <v>6.1800000000000006E-3</v>
      </c>
      <c r="D22" s="78">
        <f>+C22*(1+D2)</f>
        <v>6.4210200000000004E-3</v>
      </c>
      <c r="E22" s="78">
        <f>+D22*(1+E2)</f>
        <v>6.6585977400000001E-3</v>
      </c>
      <c r="F22" s="78">
        <f>+E22*(1+F2)</f>
        <v>6.9049658563799998E-3</v>
      </c>
      <c r="G22" s="78">
        <f>+F22*(1+G2)</f>
        <v>7.1604495930660591E-3</v>
      </c>
    </row>
    <row r="23" spans="1:7" x14ac:dyDescent="0.2">
      <c r="A23" s="82" t="s">
        <v>178</v>
      </c>
      <c r="B23" s="87">
        <v>0.05</v>
      </c>
      <c r="C23" s="87">
        <f>+B23</f>
        <v>0.05</v>
      </c>
      <c r="D23" s="87">
        <f t="shared" ref="D23:G23" si="13">+C23</f>
        <v>0.05</v>
      </c>
      <c r="E23" s="87">
        <f t="shared" si="13"/>
        <v>0.05</v>
      </c>
      <c r="F23" s="87">
        <f t="shared" si="13"/>
        <v>0.05</v>
      </c>
      <c r="G23" s="87">
        <f t="shared" si="13"/>
        <v>0.05</v>
      </c>
    </row>
    <row r="24" spans="1:7" x14ac:dyDescent="0.2">
      <c r="A24" s="82" t="s">
        <v>179</v>
      </c>
      <c r="B24" s="87">
        <f>100%-B23</f>
        <v>0.95</v>
      </c>
      <c r="C24" s="87">
        <f t="shared" ref="C24:G24" si="14">100%-C23</f>
        <v>0.95</v>
      </c>
      <c r="D24" s="87">
        <f t="shared" si="14"/>
        <v>0.95</v>
      </c>
      <c r="E24" s="87">
        <f t="shared" si="14"/>
        <v>0.95</v>
      </c>
      <c r="F24" s="87">
        <f t="shared" si="14"/>
        <v>0.95</v>
      </c>
      <c r="G24" s="87">
        <f t="shared" si="14"/>
        <v>0.95</v>
      </c>
    </row>
    <row r="26" spans="1:7" x14ac:dyDescent="0.2">
      <c r="A26" s="75" t="s">
        <v>106</v>
      </c>
      <c r="B26" s="76">
        <f t="shared" ref="B26:G26" si="15">+B17</f>
        <v>2017</v>
      </c>
      <c r="C26" s="76">
        <f t="shared" si="15"/>
        <v>2018</v>
      </c>
      <c r="D26" s="76">
        <f t="shared" si="15"/>
        <v>2019</v>
      </c>
      <c r="E26" s="76">
        <f t="shared" si="15"/>
        <v>2020</v>
      </c>
      <c r="F26" s="76">
        <f t="shared" si="15"/>
        <v>2021</v>
      </c>
      <c r="G26" s="76">
        <f t="shared" si="15"/>
        <v>2022</v>
      </c>
    </row>
    <row r="27" spans="1:7" x14ac:dyDescent="0.2">
      <c r="A27" s="88" t="s">
        <v>107</v>
      </c>
      <c r="B27" s="89">
        <v>7.0000000000000007E-2</v>
      </c>
      <c r="C27" s="90">
        <f>+B27</f>
        <v>7.0000000000000007E-2</v>
      </c>
      <c r="D27" s="90">
        <f t="shared" ref="D27:G27" si="16">+C27</f>
        <v>7.0000000000000007E-2</v>
      </c>
      <c r="E27" s="90">
        <f t="shared" si="16"/>
        <v>7.0000000000000007E-2</v>
      </c>
      <c r="F27" s="90">
        <f t="shared" si="16"/>
        <v>7.0000000000000007E-2</v>
      </c>
      <c r="G27" s="90">
        <f t="shared" si="16"/>
        <v>7.0000000000000007E-2</v>
      </c>
    </row>
    <row r="28" spans="1:7" x14ac:dyDescent="0.2">
      <c r="A28" s="88" t="s">
        <v>146</v>
      </c>
      <c r="B28" s="91">
        <f>+B27/(1+B27)</f>
        <v>6.5420560747663559E-2</v>
      </c>
      <c r="C28" s="91">
        <f t="shared" ref="C28:G28" si="17">+C27/(1+C27)</f>
        <v>6.5420560747663559E-2</v>
      </c>
      <c r="D28" s="91">
        <f t="shared" si="17"/>
        <v>6.5420560747663559E-2</v>
      </c>
      <c r="E28" s="91">
        <f t="shared" si="17"/>
        <v>6.5420560747663559E-2</v>
      </c>
      <c r="F28" s="91">
        <f t="shared" si="17"/>
        <v>6.5420560747663559E-2</v>
      </c>
      <c r="G28" s="91">
        <f t="shared" si="17"/>
        <v>6.5420560747663559E-2</v>
      </c>
    </row>
    <row r="29" spans="1:7" x14ac:dyDescent="0.2">
      <c r="A29" s="88" t="s">
        <v>147</v>
      </c>
      <c r="B29" s="92">
        <f>1-B28</f>
        <v>0.93457943925233644</v>
      </c>
      <c r="C29" s="92">
        <f t="shared" ref="C29:G29" si="18">1-C28</f>
        <v>0.93457943925233644</v>
      </c>
      <c r="D29" s="92">
        <f t="shared" si="18"/>
        <v>0.93457943925233644</v>
      </c>
      <c r="E29" s="92">
        <f t="shared" si="18"/>
        <v>0.93457943925233644</v>
      </c>
      <c r="F29" s="92">
        <f t="shared" si="18"/>
        <v>0.93457943925233644</v>
      </c>
      <c r="G29" s="92">
        <f t="shared" si="18"/>
        <v>0.93457943925233644</v>
      </c>
    </row>
    <row r="30" spans="1:7" x14ac:dyDescent="0.2">
      <c r="A30" s="88" t="s">
        <v>48</v>
      </c>
      <c r="B30" s="91">
        <f t="shared" ref="B30:G30" si="19">+B6+B7</f>
        <v>0.12380000000000001</v>
      </c>
      <c r="C30" s="91">
        <f t="shared" si="19"/>
        <v>9.8069565217391311E-2</v>
      </c>
      <c r="D30" s="91">
        <f t="shared" si="19"/>
        <v>0.10649043478260869</v>
      </c>
      <c r="E30" s="91">
        <f t="shared" si="19"/>
        <v>0.1046191304347826</v>
      </c>
      <c r="F30" s="91">
        <f t="shared" si="19"/>
        <v>0.1046191304347826</v>
      </c>
      <c r="G30" s="91">
        <f t="shared" si="19"/>
        <v>0.1046191304347826</v>
      </c>
    </row>
    <row r="31" spans="1:7" x14ac:dyDescent="0.2">
      <c r="A31" s="88" t="s">
        <v>52</v>
      </c>
      <c r="B31" s="93">
        <v>0.13</v>
      </c>
      <c r="C31" s="93">
        <f>+B31</f>
        <v>0.13</v>
      </c>
      <c r="D31" s="93">
        <f t="shared" ref="D31:G31" si="20">+C31</f>
        <v>0.13</v>
      </c>
      <c r="E31" s="93">
        <f t="shared" si="20"/>
        <v>0.13</v>
      </c>
      <c r="F31" s="93">
        <f t="shared" si="20"/>
        <v>0.13</v>
      </c>
      <c r="G31" s="93">
        <f t="shared" si="20"/>
        <v>0.13</v>
      </c>
    </row>
    <row r="32" spans="1:7" x14ac:dyDescent="0.2">
      <c r="A32" s="88" t="s">
        <v>51</v>
      </c>
      <c r="B32" s="93">
        <v>7.0000000000000007E-2</v>
      </c>
      <c r="C32" s="93">
        <f t="shared" ref="C32:G34" si="21">+B32</f>
        <v>7.0000000000000007E-2</v>
      </c>
      <c r="D32" s="93">
        <f t="shared" si="21"/>
        <v>7.0000000000000007E-2</v>
      </c>
      <c r="E32" s="93">
        <f t="shared" si="21"/>
        <v>7.0000000000000007E-2</v>
      </c>
      <c r="F32" s="93">
        <f t="shared" si="21"/>
        <v>7.0000000000000007E-2</v>
      </c>
      <c r="G32" s="93">
        <f t="shared" si="21"/>
        <v>7.0000000000000007E-2</v>
      </c>
    </row>
    <row r="33" spans="1:7" x14ac:dyDescent="0.2">
      <c r="A33" s="88" t="s">
        <v>53</v>
      </c>
      <c r="B33" s="94">
        <v>1.5</v>
      </c>
      <c r="C33" s="95">
        <f>+B33</f>
        <v>1.5</v>
      </c>
      <c r="D33" s="95">
        <f t="shared" ref="D33:G33" si="22">+C33</f>
        <v>1.5</v>
      </c>
      <c r="E33" s="95">
        <f t="shared" si="22"/>
        <v>1.5</v>
      </c>
      <c r="F33" s="95">
        <f t="shared" si="22"/>
        <v>1.5</v>
      </c>
      <c r="G33" s="95">
        <f t="shared" si="22"/>
        <v>1.5</v>
      </c>
    </row>
    <row r="34" spans="1:7" x14ac:dyDescent="0.2">
      <c r="A34" s="88" t="s">
        <v>50</v>
      </c>
      <c r="B34" s="91">
        <f>+B32+B33*(B31-B32)</f>
        <v>0.16</v>
      </c>
      <c r="C34" s="92">
        <f t="shared" si="21"/>
        <v>0.16</v>
      </c>
      <c r="D34" s="92">
        <f t="shared" si="21"/>
        <v>0.16</v>
      </c>
      <c r="E34" s="92">
        <f t="shared" si="21"/>
        <v>0.16</v>
      </c>
      <c r="F34" s="92">
        <f t="shared" si="21"/>
        <v>0.16</v>
      </c>
      <c r="G34" s="92">
        <f t="shared" si="21"/>
        <v>0.16</v>
      </c>
    </row>
    <row r="35" spans="1:7" x14ac:dyDescent="0.2">
      <c r="C35" s="72"/>
    </row>
    <row r="36" spans="1:7" x14ac:dyDescent="0.2">
      <c r="C36" s="73"/>
    </row>
  </sheetData>
  <pageMargins left="0.75" right="0.75" top="1" bottom="1" header="0.5" footer="0.5"/>
  <pageSetup orientation="portrait" horizontalDpi="4294967292" verticalDpi="4294967292" r:id="rId1"/>
  <ignoredErrors>
    <ignoredError sqref="C12:G12 D14:G14 C22:G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zoomScale="91" zoomScaleNormal="91" zoomScalePageLayoutView="91" workbookViewId="0">
      <selection activeCell="C12" sqref="C12"/>
    </sheetView>
  </sheetViews>
  <sheetFormatPr baseColWidth="10" defaultRowHeight="15.75" x14ac:dyDescent="0.25"/>
  <cols>
    <col min="1" max="1" width="20.5" customWidth="1"/>
    <col min="2" max="2" width="14.125" bestFit="1" customWidth="1"/>
    <col min="5" max="5" width="11.5" bestFit="1" customWidth="1"/>
  </cols>
  <sheetData>
    <row r="1" spans="1:5" ht="15.95" x14ac:dyDescent="0.25">
      <c r="A1" s="6"/>
      <c r="B1" s="14" t="s">
        <v>58</v>
      </c>
      <c r="C1" s="14" t="s">
        <v>59</v>
      </c>
    </row>
    <row r="2" spans="1:5" x14ac:dyDescent="0.25">
      <c r="A2" s="6" t="s">
        <v>57</v>
      </c>
      <c r="B2" s="15">
        <f>+PRESUPUESTOS!B47</f>
        <v>827000000</v>
      </c>
      <c r="C2" s="18">
        <f>+C3+C4</f>
        <v>1</v>
      </c>
    </row>
    <row r="3" spans="1:5" ht="15.95" x14ac:dyDescent="0.25">
      <c r="A3" s="6" t="s">
        <v>55</v>
      </c>
      <c r="B3" s="15">
        <f>+'TABLA AMORT'!B2</f>
        <v>54102803.738317728</v>
      </c>
      <c r="C3" s="16">
        <f>+B3/B2</f>
        <v>6.5420560747663517E-2</v>
      </c>
    </row>
    <row r="4" spans="1:5" ht="15.95" x14ac:dyDescent="0.25">
      <c r="A4" s="6" t="s">
        <v>56</v>
      </c>
      <c r="B4" s="15">
        <f>+B2-B3</f>
        <v>772897196.26168227</v>
      </c>
      <c r="C4" s="16">
        <f>+B4/B2</f>
        <v>0.93457943925233644</v>
      </c>
      <c r="E4" s="1"/>
    </row>
    <row r="5" spans="1:5" ht="15.95" x14ac:dyDescent="0.25">
      <c r="A5" s="6"/>
      <c r="B5" s="6"/>
      <c r="C5" s="6"/>
    </row>
    <row r="6" spans="1:5" ht="15.95" x14ac:dyDescent="0.25">
      <c r="A6" s="6" t="s">
        <v>49</v>
      </c>
      <c r="B6" s="6"/>
      <c r="C6" s="6"/>
    </row>
    <row r="7" spans="1:5" ht="15.95" x14ac:dyDescent="0.25">
      <c r="A7" s="6" t="s">
        <v>165</v>
      </c>
      <c r="B7" s="6"/>
      <c r="C7" s="16">
        <f>+'TABLA AMORT'!E2*(1-'V. ENTRADA'!C20)</f>
        <v>6.5706608695652174E-2</v>
      </c>
    </row>
    <row r="8" spans="1:5" ht="15.95" x14ac:dyDescent="0.25">
      <c r="A8" s="6" t="s">
        <v>50</v>
      </c>
      <c r="B8" s="6"/>
      <c r="C8" s="18">
        <f>+'V. ENTRADA'!B34</f>
        <v>0.16</v>
      </c>
    </row>
    <row r="9" spans="1:5" ht="15.95" x14ac:dyDescent="0.25">
      <c r="A9" s="6"/>
      <c r="B9" s="6"/>
      <c r="C9" s="6"/>
    </row>
    <row r="10" spans="1:5" ht="15.95" x14ac:dyDescent="0.25">
      <c r="A10" s="4" t="s">
        <v>60</v>
      </c>
      <c r="B10" s="4"/>
      <c r="C10" s="17">
        <f>+C3*C7+C4*C8</f>
        <v>0.1538312734660707</v>
      </c>
    </row>
  </sheetData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1"/>
  <sheetViews>
    <sheetView workbookViewId="0">
      <selection activeCell="O31" sqref="O31"/>
    </sheetView>
  </sheetViews>
  <sheetFormatPr baseColWidth="10" defaultRowHeight="15.75" x14ac:dyDescent="0.25"/>
  <cols>
    <col min="2" max="2" width="22.875" bestFit="1" customWidth="1"/>
    <col min="3" max="3" width="12.375" bestFit="1" customWidth="1"/>
    <col min="4" max="4" width="19.875" bestFit="1" customWidth="1"/>
    <col min="5" max="5" width="14.5" customWidth="1"/>
    <col min="6" max="6" width="22.375" bestFit="1" customWidth="1"/>
    <col min="7" max="7" width="13.5" bestFit="1" customWidth="1"/>
  </cols>
  <sheetData>
    <row r="5" spans="2:7" x14ac:dyDescent="0.25">
      <c r="B5" s="97" t="s">
        <v>87</v>
      </c>
      <c r="C5" s="98" t="s">
        <v>181</v>
      </c>
      <c r="D5" s="98" t="s">
        <v>0</v>
      </c>
      <c r="E5" s="98" t="s">
        <v>227</v>
      </c>
      <c r="F5" s="98" t="s">
        <v>230</v>
      </c>
      <c r="G5" s="98"/>
    </row>
    <row r="6" spans="2:7" x14ac:dyDescent="0.25">
      <c r="B6" s="153" t="s">
        <v>182</v>
      </c>
      <c r="C6" s="153">
        <v>300</v>
      </c>
      <c r="D6" s="167">
        <v>250000</v>
      </c>
      <c r="E6" s="167">
        <f>C6*D6</f>
        <v>75000000</v>
      </c>
      <c r="F6" s="153">
        <v>462</v>
      </c>
      <c r="G6" s="167">
        <f>F6*D6</f>
        <v>115500000</v>
      </c>
    </row>
    <row r="7" spans="2:7" x14ac:dyDescent="0.25">
      <c r="B7" s="153" t="s">
        <v>183</v>
      </c>
      <c r="C7" s="153">
        <v>120</v>
      </c>
      <c r="D7" s="167">
        <v>370000</v>
      </c>
      <c r="E7" s="167">
        <f t="shared" ref="E7:E10" si="0">C7*D7</f>
        <v>44400000</v>
      </c>
      <c r="F7" s="153">
        <v>144</v>
      </c>
      <c r="G7" s="167">
        <f t="shared" ref="G7:G10" si="1">F7*D7</f>
        <v>53280000</v>
      </c>
    </row>
    <row r="8" spans="2:7" x14ac:dyDescent="0.25">
      <c r="B8" s="153" t="s">
        <v>184</v>
      </c>
      <c r="C8" s="153">
        <v>72</v>
      </c>
      <c r="D8" s="167">
        <v>550000</v>
      </c>
      <c r="E8" s="167">
        <f t="shared" si="0"/>
        <v>39600000</v>
      </c>
      <c r="F8" s="153">
        <v>72</v>
      </c>
      <c r="G8" s="167">
        <f t="shared" si="1"/>
        <v>39600000</v>
      </c>
    </row>
    <row r="9" spans="2:7" x14ac:dyDescent="0.25">
      <c r="B9" s="153" t="s">
        <v>185</v>
      </c>
      <c r="C9" s="153">
        <v>800</v>
      </c>
      <c r="D9" s="167">
        <v>50000</v>
      </c>
      <c r="E9" s="167">
        <f t="shared" si="0"/>
        <v>40000000</v>
      </c>
      <c r="F9" s="153">
        <v>1500</v>
      </c>
      <c r="G9" s="167">
        <f t="shared" si="1"/>
        <v>75000000</v>
      </c>
    </row>
    <row r="10" spans="2:7" x14ac:dyDescent="0.25">
      <c r="B10" s="153" t="s">
        <v>186</v>
      </c>
      <c r="C10" s="153">
        <v>1400</v>
      </c>
      <c r="D10" s="167">
        <v>80000</v>
      </c>
      <c r="E10" s="167">
        <f t="shared" si="0"/>
        <v>112000000</v>
      </c>
      <c r="F10" s="153">
        <v>8000</v>
      </c>
      <c r="G10" s="167">
        <f t="shared" si="1"/>
        <v>640000000</v>
      </c>
    </row>
    <row r="11" spans="2:7" x14ac:dyDescent="0.25">
      <c r="D11" s="168" t="s">
        <v>228</v>
      </c>
      <c r="E11" s="169">
        <f>SUM(E6:E10)</f>
        <v>311000000</v>
      </c>
      <c r="F11" s="168" t="s">
        <v>229</v>
      </c>
      <c r="G11" s="170">
        <f>SUM(G6:G10)</f>
        <v>923380000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showGridLines="0" zoomScale="91" zoomScaleNormal="91" zoomScalePageLayoutView="91" workbookViewId="0">
      <selection activeCell="B2" sqref="B2"/>
    </sheetView>
  </sheetViews>
  <sheetFormatPr baseColWidth="10" defaultRowHeight="15.75" x14ac:dyDescent="0.25"/>
  <cols>
    <col min="1" max="1" width="19" customWidth="1"/>
    <col min="2" max="2" width="17.125" bestFit="1" customWidth="1"/>
    <col min="3" max="7" width="15.5" bestFit="1" customWidth="1"/>
    <col min="9" max="9" width="16.125" bestFit="1" customWidth="1"/>
    <col min="12" max="16" width="12.625" bestFit="1" customWidth="1"/>
  </cols>
  <sheetData>
    <row r="2" spans="1:9" x14ac:dyDescent="0.25">
      <c r="A2" s="114"/>
      <c r="B2" s="96">
        <f>+'ESTADO DE SITUACION (BALANCE)'!B4</f>
        <v>2017</v>
      </c>
      <c r="C2" s="96">
        <f>+'ESTADO DE SITUACION (BALANCE)'!C4</f>
        <v>2018</v>
      </c>
      <c r="D2" s="96">
        <f>+'ESTADO DE SITUACION (BALANCE)'!D4</f>
        <v>2019</v>
      </c>
      <c r="E2" s="96">
        <f>+'ESTADO DE SITUACION (BALANCE)'!E4</f>
        <v>2020</v>
      </c>
      <c r="F2" s="96">
        <f>+'ESTADO DE SITUACION (BALANCE)'!F4</f>
        <v>2021</v>
      </c>
      <c r="G2" s="96">
        <f>+'ESTADO DE SITUACION (BALANCE)'!G4</f>
        <v>2022</v>
      </c>
      <c r="H2" s="96" t="s">
        <v>113</v>
      </c>
      <c r="I2" s="22"/>
    </row>
    <row r="3" spans="1:9" x14ac:dyDescent="0.25">
      <c r="A3" s="6" t="s">
        <v>57</v>
      </c>
      <c r="B3" s="6"/>
      <c r="C3" s="6"/>
      <c r="D3" s="6"/>
      <c r="E3" s="6"/>
      <c r="F3" s="6"/>
      <c r="G3" s="6"/>
      <c r="H3" s="6"/>
    </row>
    <row r="4" spans="1:9" ht="15.95" x14ac:dyDescent="0.25">
      <c r="A4" s="6" t="s">
        <v>111</v>
      </c>
      <c r="B4" s="112">
        <v>102000000</v>
      </c>
      <c r="C4" s="6"/>
      <c r="D4" s="6"/>
      <c r="E4" s="6"/>
      <c r="F4" s="15">
        <f>+PRESUPUESTOS!C44</f>
        <v>0</v>
      </c>
      <c r="G4" s="6"/>
      <c r="H4" s="6">
        <v>10</v>
      </c>
      <c r="I4" s="1"/>
    </row>
    <row r="5" spans="1:9" ht="15.95" x14ac:dyDescent="0.25">
      <c r="A5" s="6" t="s">
        <v>112</v>
      </c>
      <c r="B5" s="112">
        <v>600000000</v>
      </c>
      <c r="C5" s="6"/>
      <c r="D5" s="6"/>
      <c r="E5" s="6"/>
      <c r="F5" s="6"/>
      <c r="G5" s="6"/>
      <c r="H5" s="6">
        <v>30</v>
      </c>
    </row>
    <row r="6" spans="1:9" ht="15.95" x14ac:dyDescent="0.25">
      <c r="A6" s="128" t="s">
        <v>180</v>
      </c>
      <c r="B6" s="127"/>
      <c r="C6" s="126"/>
      <c r="D6" s="126"/>
      <c r="E6" s="126"/>
      <c r="F6" s="126"/>
      <c r="G6" s="126"/>
      <c r="H6" s="126" t="s">
        <v>180</v>
      </c>
    </row>
    <row r="7" spans="1:9" ht="15.95" x14ac:dyDescent="0.25">
      <c r="A7" s="126"/>
      <c r="B7" s="127"/>
      <c r="C7" s="126"/>
      <c r="D7" s="126"/>
      <c r="E7" s="126"/>
      <c r="F7" s="126"/>
      <c r="G7" s="126"/>
      <c r="H7" s="126"/>
    </row>
    <row r="9" spans="1:9" x14ac:dyDescent="0.25">
      <c r="A9" s="115"/>
      <c r="B9" s="115">
        <f t="shared" ref="B9:G9" si="0">+B2</f>
        <v>2017</v>
      </c>
      <c r="C9" s="115">
        <f t="shared" si="0"/>
        <v>2018</v>
      </c>
      <c r="D9" s="115">
        <f t="shared" si="0"/>
        <v>2019</v>
      </c>
      <c r="E9" s="115">
        <f t="shared" si="0"/>
        <v>2020</v>
      </c>
      <c r="F9" s="115">
        <f t="shared" si="0"/>
        <v>2021</v>
      </c>
      <c r="G9" s="115">
        <f t="shared" si="0"/>
        <v>2022</v>
      </c>
    </row>
    <row r="10" spans="1:9" ht="15.95" x14ac:dyDescent="0.25">
      <c r="A10" s="6"/>
      <c r="B10" s="116">
        <v>0</v>
      </c>
      <c r="C10" s="117">
        <f>+B4/$H$4</f>
        <v>10200000</v>
      </c>
      <c r="D10" s="117">
        <f>+C10</f>
        <v>10200000</v>
      </c>
      <c r="E10" s="117">
        <f>+D10</f>
        <v>10200000</v>
      </c>
      <c r="F10" s="117">
        <f>+E10</f>
        <v>10200000</v>
      </c>
      <c r="G10" s="117">
        <f>+F10+F4/H4</f>
        <v>10200000</v>
      </c>
    </row>
    <row r="11" spans="1:9" ht="15.95" x14ac:dyDescent="0.25">
      <c r="A11" s="6"/>
      <c r="B11" s="116">
        <v>0</v>
      </c>
      <c r="C11" s="117">
        <f>+B5/H5</f>
        <v>20000000</v>
      </c>
      <c r="D11" s="116">
        <f>+C11</f>
        <v>20000000</v>
      </c>
      <c r="E11" s="116">
        <f t="shared" ref="E11:G11" si="1">+D11</f>
        <v>20000000</v>
      </c>
      <c r="F11" s="116">
        <f t="shared" si="1"/>
        <v>20000000</v>
      </c>
      <c r="G11" s="116">
        <f t="shared" si="1"/>
        <v>20000000</v>
      </c>
    </row>
    <row r="12" spans="1:9" x14ac:dyDescent="0.25">
      <c r="A12" s="173" t="s">
        <v>1</v>
      </c>
      <c r="B12" s="181">
        <f>+SUM(B10:B11)</f>
        <v>0</v>
      </c>
      <c r="C12" s="182">
        <f t="shared" ref="C12:G12" si="2">+SUM(C10:C11)</f>
        <v>30200000</v>
      </c>
      <c r="D12" s="182">
        <f t="shared" si="2"/>
        <v>30200000</v>
      </c>
      <c r="E12" s="182">
        <f t="shared" si="2"/>
        <v>30200000</v>
      </c>
      <c r="F12" s="182">
        <f t="shared" si="2"/>
        <v>30200000</v>
      </c>
      <c r="G12" s="182">
        <f t="shared" si="2"/>
        <v>30200000</v>
      </c>
    </row>
    <row r="13" spans="1:9" ht="15.95" x14ac:dyDescent="0.25">
      <c r="A13" s="6"/>
      <c r="B13" s="116"/>
      <c r="C13" s="116"/>
      <c r="D13" s="116"/>
      <c r="E13" s="116"/>
      <c r="F13" s="116"/>
      <c r="G13" s="116"/>
    </row>
    <row r="14" spans="1:9" ht="15.95" x14ac:dyDescent="0.25">
      <c r="A14" s="6" t="s">
        <v>49</v>
      </c>
      <c r="B14" s="116">
        <f>+B10*'V. ENTRADA'!B24</f>
        <v>0</v>
      </c>
      <c r="C14" s="117">
        <f>+C12*'V. ENTRADA'!C24</f>
        <v>28690000</v>
      </c>
      <c r="D14" s="117">
        <f>+D12*'V. ENTRADA'!D24</f>
        <v>28690000</v>
      </c>
      <c r="E14" s="117">
        <f>+E12*'V. ENTRADA'!E24</f>
        <v>28690000</v>
      </c>
      <c r="F14" s="117">
        <f>+F12*'V. ENTRADA'!F24</f>
        <v>28690000</v>
      </c>
      <c r="G14" s="117">
        <f>+G12*'V. ENTRADA'!G24</f>
        <v>28690000</v>
      </c>
    </row>
    <row r="15" spans="1:9" ht="15.95" x14ac:dyDescent="0.25">
      <c r="A15" s="6" t="s">
        <v>114</v>
      </c>
      <c r="B15" s="116">
        <f>+B12-B14</f>
        <v>0</v>
      </c>
      <c r="C15" s="117">
        <f>+C12-C14</f>
        <v>1510000</v>
      </c>
      <c r="D15" s="117">
        <f t="shared" ref="D15:G15" si="3">+D12-D14</f>
        <v>1510000</v>
      </c>
      <c r="E15" s="117">
        <f t="shared" si="3"/>
        <v>1510000</v>
      </c>
      <c r="F15" s="117">
        <f t="shared" si="3"/>
        <v>1510000</v>
      </c>
      <c r="G15" s="117">
        <f t="shared" si="3"/>
        <v>1510000</v>
      </c>
    </row>
    <row r="19" spans="2:12" x14ac:dyDescent="0.25">
      <c r="C19" s="129"/>
    </row>
    <row r="20" spans="2:12" x14ac:dyDescent="0.25">
      <c r="L20" s="129"/>
    </row>
    <row r="21" spans="2:12" x14ac:dyDescent="0.25">
      <c r="B21" s="129"/>
      <c r="C21" s="129"/>
    </row>
    <row r="27" spans="2:12" x14ac:dyDescent="0.25">
      <c r="E27" s="129"/>
      <c r="G27" s="129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showGridLines="0" topLeftCell="A15" zoomScale="90" zoomScaleNormal="87" zoomScalePageLayoutView="87" workbookViewId="0">
      <selection activeCell="F9" sqref="F9"/>
    </sheetView>
  </sheetViews>
  <sheetFormatPr baseColWidth="10" defaultRowHeight="15.75" x14ac:dyDescent="0.25"/>
  <cols>
    <col min="1" max="1" width="34.625" customWidth="1"/>
    <col min="2" max="2" width="18.375" bestFit="1" customWidth="1"/>
    <col min="3" max="3" width="14.625" bestFit="1" customWidth="1"/>
    <col min="4" max="4" width="15" customWidth="1"/>
    <col min="5" max="5" width="18.625" customWidth="1"/>
    <col min="6" max="6" width="18.875" customWidth="1"/>
    <col min="7" max="7" width="7.125" bestFit="1" customWidth="1"/>
    <col min="8" max="8" width="18.625" bestFit="1" customWidth="1"/>
    <col min="9" max="13" width="17.5" bestFit="1" customWidth="1"/>
    <col min="14" max="15" width="10.875" customWidth="1"/>
  </cols>
  <sheetData>
    <row r="2" spans="1:13" x14ac:dyDescent="0.25">
      <c r="A2" s="97" t="s">
        <v>87</v>
      </c>
      <c r="B2" s="98" t="s">
        <v>181</v>
      </c>
      <c r="C2" s="98" t="s">
        <v>0</v>
      </c>
      <c r="D2" s="98" t="s">
        <v>226</v>
      </c>
      <c r="H2" s="96">
        <f>+'V. ENTRADA'!B1</f>
        <v>2017</v>
      </c>
      <c r="I2" s="96">
        <f>+'V. ENTRADA'!C1</f>
        <v>2018</v>
      </c>
      <c r="J2" s="96">
        <f>+'V. ENTRADA'!D1</f>
        <v>2019</v>
      </c>
      <c r="K2" s="96">
        <f>+'V. ENTRADA'!E1</f>
        <v>2020</v>
      </c>
      <c r="L2" s="96">
        <f>+'V. ENTRADA'!F1</f>
        <v>2021</v>
      </c>
      <c r="M2" s="96">
        <f>+'V. ENTRADA'!G1</f>
        <v>2022</v>
      </c>
    </row>
    <row r="3" spans="1:13" x14ac:dyDescent="0.25">
      <c r="A3" s="152" t="s">
        <v>182</v>
      </c>
      <c r="B3" s="153">
        <v>300</v>
      </c>
      <c r="C3" s="153">
        <v>250000</v>
      </c>
      <c r="D3" s="153">
        <v>462</v>
      </c>
      <c r="H3" s="6"/>
      <c r="I3" s="112">
        <f>+B3*C3</f>
        <v>75000000</v>
      </c>
      <c r="J3" s="113">
        <f>+I3*(1+'V. ENTRADA'!C18)</f>
        <v>79258500</v>
      </c>
      <c r="K3" s="113">
        <f>+J3*(1+'V. ENTRADA'!D18)</f>
        <v>84820068.944999993</v>
      </c>
      <c r="L3" s="113">
        <f>+K3*(1+'V. ENTRADA'!E18)</f>
        <v>90597163.840843931</v>
      </c>
      <c r="M3" s="113">
        <f>+L3*(1+'V. ENTRADA'!F18)</f>
        <v>96767736.670043796</v>
      </c>
    </row>
    <row r="4" spans="1:13" x14ac:dyDescent="0.25">
      <c r="A4" s="152" t="s">
        <v>183</v>
      </c>
      <c r="B4" s="153">
        <v>120</v>
      </c>
      <c r="C4" s="153">
        <v>370000</v>
      </c>
      <c r="D4" s="153">
        <v>144</v>
      </c>
      <c r="H4" s="6"/>
      <c r="I4" s="112">
        <f>+B4*C4</f>
        <v>44400000</v>
      </c>
      <c r="J4" s="113">
        <f>+I4*(1+'V. ENTRADA'!C18)</f>
        <v>46921032</v>
      </c>
      <c r="K4" s="113">
        <f>+J4*(1+'V. ENTRADA'!D18)</f>
        <v>50213480.815439992</v>
      </c>
      <c r="L4" s="113">
        <f>+K4*(1+'V. ENTRADA'!E18)</f>
        <v>53633520.993779607</v>
      </c>
      <c r="M4" s="113">
        <f>+L4*(1+'V. ENTRADA'!F18)</f>
        <v>57286500.108665928</v>
      </c>
    </row>
    <row r="5" spans="1:13" x14ac:dyDescent="0.25">
      <c r="A5" s="152" t="s">
        <v>184</v>
      </c>
      <c r="B5" s="153">
        <v>72</v>
      </c>
      <c r="C5" s="153">
        <v>550000</v>
      </c>
      <c r="D5" s="153">
        <v>72</v>
      </c>
      <c r="H5" s="6"/>
      <c r="I5" s="112">
        <f>+B5*C5</f>
        <v>39600000</v>
      </c>
      <c r="J5" s="113">
        <f>+I5*(1+'V. ENTRADA'!$C18)</f>
        <v>41848488</v>
      </c>
      <c r="K5" s="113">
        <f>+J5*(1+'V. ENTRADA'!$D18)</f>
        <v>44784996.402959995</v>
      </c>
      <c r="L5" s="113">
        <f>+K5*(1+'V. ENTRADA'!$E18)</f>
        <v>47835302.507965595</v>
      </c>
      <c r="M5" s="113">
        <f>+L5*(1+'V. ENTRADA'!F18)</f>
        <v>51093364.961783126</v>
      </c>
    </row>
    <row r="6" spans="1:13" x14ac:dyDescent="0.25">
      <c r="A6" s="152" t="s">
        <v>185</v>
      </c>
      <c r="B6" s="153">
        <v>800</v>
      </c>
      <c r="C6" s="153">
        <v>50000</v>
      </c>
      <c r="D6" s="153">
        <v>1500</v>
      </c>
      <c r="H6" s="6"/>
      <c r="I6" s="112">
        <f t="shared" ref="I6:I7" si="0">+B6*C6</f>
        <v>40000000</v>
      </c>
      <c r="J6" s="113">
        <f>+I6*(1+'V. ENTRADA'!$C18)</f>
        <v>42271200</v>
      </c>
      <c r="K6" s="113">
        <f>+J6*(1+'V. ENTRADA'!$D18)</f>
        <v>45237370.103999995</v>
      </c>
      <c r="L6" s="113">
        <f>+K6*(1+'V. ENTRADA'!$E18)</f>
        <v>48318487.381783426</v>
      </c>
      <c r="M6" s="113">
        <f>+L6*(1+'V. ENTRADA'!F18)</f>
        <v>51609459.557356693</v>
      </c>
    </row>
    <row r="7" spans="1:13" x14ac:dyDescent="0.25">
      <c r="A7" s="152" t="s">
        <v>186</v>
      </c>
      <c r="B7" s="153">
        <v>1400</v>
      </c>
      <c r="C7" s="153">
        <v>80000</v>
      </c>
      <c r="D7" s="153">
        <v>8000</v>
      </c>
      <c r="H7" s="6"/>
      <c r="I7" s="112">
        <f t="shared" si="0"/>
        <v>112000000</v>
      </c>
      <c r="J7" s="113">
        <f>+I7*(1+'V. ENTRADA'!$C18)</f>
        <v>118359360</v>
      </c>
      <c r="K7" s="113">
        <f>+J7*(1+'V. ENTRADA'!$D18)</f>
        <v>126664636.29119998</v>
      </c>
      <c r="L7" s="113">
        <f>+K7*(1+'V. ENTRADA'!$E18)</f>
        <v>135291764.66899359</v>
      </c>
      <c r="M7" s="113">
        <f>+L7*(1+'V. ENTRADA'!F18)</f>
        <v>144506486.76059872</v>
      </c>
    </row>
    <row r="8" spans="1:13" x14ac:dyDescent="0.25">
      <c r="H8" s="157" t="s">
        <v>46</v>
      </c>
      <c r="I8" s="159">
        <f>+SUM(I3:I7)</f>
        <v>311000000</v>
      </c>
      <c r="J8" s="159">
        <f t="shared" ref="J8:M8" si="1">+SUM(J3:J7)</f>
        <v>328658580</v>
      </c>
      <c r="K8" s="159">
        <f t="shared" si="1"/>
        <v>351720552.55859995</v>
      </c>
      <c r="L8" s="159">
        <f t="shared" si="1"/>
        <v>375676239.39336616</v>
      </c>
      <c r="M8" s="159">
        <f t="shared" si="1"/>
        <v>401263548.0584482</v>
      </c>
    </row>
    <row r="9" spans="1:13" x14ac:dyDescent="0.25">
      <c r="A9" s="9"/>
      <c r="B9" s="9"/>
      <c r="C9" s="9"/>
      <c r="H9" s="23"/>
      <c r="J9" s="19"/>
      <c r="K9" s="19"/>
      <c r="L9" s="19"/>
      <c r="M9" s="19"/>
    </row>
    <row r="10" spans="1:13" x14ac:dyDescent="0.25">
      <c r="B10" s="9"/>
      <c r="C10" s="9"/>
      <c r="H10" s="23"/>
    </row>
    <row r="11" spans="1:13" x14ac:dyDescent="0.25">
      <c r="A11" s="97" t="s">
        <v>231</v>
      </c>
      <c r="B11" s="98"/>
      <c r="C11" s="98"/>
      <c r="H11" s="96">
        <f t="shared" ref="H11:M11" si="2">+H2</f>
        <v>2017</v>
      </c>
      <c r="I11" s="96">
        <f t="shared" si="2"/>
        <v>2018</v>
      </c>
      <c r="J11" s="96">
        <f t="shared" si="2"/>
        <v>2019</v>
      </c>
      <c r="K11" s="96">
        <f t="shared" si="2"/>
        <v>2020</v>
      </c>
      <c r="L11" s="96">
        <f t="shared" si="2"/>
        <v>2021</v>
      </c>
      <c r="M11" s="96">
        <f t="shared" si="2"/>
        <v>2022</v>
      </c>
    </row>
    <row r="12" spans="1:13" x14ac:dyDescent="0.25">
      <c r="A12" s="99"/>
      <c r="B12" s="100">
        <v>0</v>
      </c>
      <c r="C12" s="101"/>
      <c r="H12" s="6"/>
      <c r="I12" s="112">
        <f>+B12*C12</f>
        <v>0</v>
      </c>
      <c r="J12" s="113">
        <f>+I12*(1+'V. ENTRADA'!C19)</f>
        <v>0</v>
      </c>
      <c r="K12" s="113">
        <f>+J12*(1+'V. ENTRADA'!D19)</f>
        <v>0</v>
      </c>
      <c r="L12" s="113">
        <f>+K12*(1+'V. ENTRADA'!E19)</f>
        <v>0</v>
      </c>
      <c r="M12" s="113">
        <f>+L12*(1+'V. ENTRADA'!F19)</f>
        <v>0</v>
      </c>
    </row>
    <row r="13" spans="1:13" x14ac:dyDescent="0.25">
      <c r="A13" s="99"/>
      <c r="B13" s="100">
        <v>0</v>
      </c>
      <c r="C13" s="101"/>
      <c r="H13" s="6"/>
      <c r="I13" s="112">
        <f>+B13*C13</f>
        <v>0</v>
      </c>
      <c r="J13" s="113">
        <f>+I13*(1+'V. ENTRADA'!C19)</f>
        <v>0</v>
      </c>
      <c r="K13" s="113">
        <f>+J13*(1+'V. ENTRADA'!D19)</f>
        <v>0</v>
      </c>
      <c r="L13" s="113">
        <f>+K13*(1+'V. ENTRADA'!E19)</f>
        <v>0</v>
      </c>
      <c r="M13" s="113">
        <f>+L13*(1+'V. ENTRADA'!F19)</f>
        <v>0</v>
      </c>
    </row>
    <row r="14" spans="1:13" x14ac:dyDescent="0.25">
      <c r="A14" s="99"/>
      <c r="B14" s="100">
        <v>0</v>
      </c>
      <c r="C14" s="101"/>
      <c r="D14" s="21"/>
      <c r="H14" s="6"/>
      <c r="I14" s="112">
        <f>+B14*C14</f>
        <v>0</v>
      </c>
      <c r="J14" s="113">
        <f>+I14*(1+'V. ENTRADA'!C19)</f>
        <v>0</v>
      </c>
      <c r="K14" s="113">
        <f>+J14*(1+'V. ENTRADA'!D19)</f>
        <v>0</v>
      </c>
      <c r="L14" s="113">
        <f>+K14*(1+'V. ENTRADA'!E19)</f>
        <v>0</v>
      </c>
      <c r="M14" s="113">
        <f>+L14*(1+'V. ENTRADA'!F19)</f>
        <v>0</v>
      </c>
    </row>
    <row r="15" spans="1:13" x14ac:dyDescent="0.25">
      <c r="A15" s="99" t="s">
        <v>231</v>
      </c>
      <c r="B15" s="105"/>
      <c r="C15" s="152"/>
      <c r="D15" s="21"/>
      <c r="H15" s="118" t="s">
        <v>6</v>
      </c>
      <c r="I15" s="112">
        <f>+DEPRECIACIONES!C14</f>
        <v>28690000</v>
      </c>
      <c r="J15" s="112">
        <f>+DEPRECIACIONES!D14</f>
        <v>28690000</v>
      </c>
      <c r="K15" s="112">
        <f>+DEPRECIACIONES!E14</f>
        <v>28690000</v>
      </c>
      <c r="L15" s="112">
        <f>+DEPRECIACIONES!F14</f>
        <v>28690000</v>
      </c>
      <c r="M15" s="112">
        <f>+DEPRECIACIONES!G14</f>
        <v>28690000</v>
      </c>
    </row>
    <row r="16" spans="1:13" x14ac:dyDescent="0.25">
      <c r="A16" s="99"/>
      <c r="B16" s="105"/>
      <c r="C16" s="106"/>
      <c r="H16" s="119"/>
      <c r="I16" s="112"/>
      <c r="J16" s="112"/>
      <c r="K16" s="112"/>
      <c r="L16" s="112"/>
      <c r="M16" s="112"/>
    </row>
    <row r="17" spans="1:13" x14ac:dyDescent="0.25">
      <c r="H17" s="157" t="s">
        <v>46</v>
      </c>
      <c r="I17" s="159">
        <f>+SUM(I12:I15)</f>
        <v>28690000</v>
      </c>
      <c r="J17" s="159">
        <f>+SUM(J12:J15)</f>
        <v>28690000</v>
      </c>
      <c r="K17" s="159">
        <f>+SUM(K12:K15)</f>
        <v>28690000</v>
      </c>
      <c r="L17" s="159">
        <f>+SUM(L12:L15)</f>
        <v>28690000</v>
      </c>
      <c r="M17" s="159">
        <f>+SUM(M12:M15)</f>
        <v>28690000</v>
      </c>
    </row>
    <row r="18" spans="1:13" x14ac:dyDescent="0.25">
      <c r="A18" s="9"/>
      <c r="B18" s="9"/>
      <c r="C18" s="9"/>
      <c r="D18" s="9"/>
      <c r="E18" s="9"/>
      <c r="F18" s="23"/>
      <c r="G18" s="23"/>
    </row>
    <row r="19" spans="1:13" x14ac:dyDescent="0.25">
      <c r="A19" s="9"/>
      <c r="B19" s="9"/>
      <c r="C19" s="9"/>
      <c r="D19" s="9"/>
      <c r="E19" s="9"/>
      <c r="F19" s="23"/>
    </row>
    <row r="20" spans="1:13" x14ac:dyDescent="0.25">
      <c r="A20" s="97" t="s">
        <v>223</v>
      </c>
      <c r="B20" s="104"/>
      <c r="C20" s="9"/>
      <c r="D20" s="9"/>
      <c r="E20" s="9"/>
      <c r="F20" s="23"/>
    </row>
    <row r="21" spans="1:13" x14ac:dyDescent="0.25">
      <c r="A21" s="97" t="s">
        <v>54</v>
      </c>
      <c r="B21" s="98" t="s">
        <v>44</v>
      </c>
      <c r="C21" s="98" t="s">
        <v>95</v>
      </c>
      <c r="D21" s="160" t="s">
        <v>45</v>
      </c>
      <c r="E21" s="160" t="s">
        <v>97</v>
      </c>
      <c r="F21" s="160" t="s">
        <v>96</v>
      </c>
      <c r="H21" s="120">
        <f t="shared" ref="H21:M21" si="3">+H11</f>
        <v>2017</v>
      </c>
      <c r="I21" s="120">
        <f t="shared" si="3"/>
        <v>2018</v>
      </c>
      <c r="J21" s="120">
        <f t="shared" si="3"/>
        <v>2019</v>
      </c>
      <c r="K21" s="120">
        <f t="shared" si="3"/>
        <v>2020</v>
      </c>
      <c r="L21" s="120">
        <f t="shared" si="3"/>
        <v>2021</v>
      </c>
      <c r="M21" s="120">
        <f t="shared" si="3"/>
        <v>2022</v>
      </c>
    </row>
    <row r="22" spans="1:13" x14ac:dyDescent="0.25">
      <c r="A22" s="99" t="s">
        <v>188</v>
      </c>
      <c r="B22" s="101">
        <v>600000</v>
      </c>
      <c r="C22" s="107">
        <v>1</v>
      </c>
      <c r="D22" s="108">
        <f t="shared" ref="D22:D26" si="4">+C22*B22</f>
        <v>600000</v>
      </c>
      <c r="E22" s="101">
        <f>+D22*12</f>
        <v>7200000</v>
      </c>
      <c r="F22" s="101">
        <v>0</v>
      </c>
      <c r="H22" s="111"/>
      <c r="I22" s="112">
        <f>+E22+F22</f>
        <v>7200000</v>
      </c>
      <c r="J22" s="112">
        <f>+I22*(1+'V. ENTRADA'!$C$5)</f>
        <v>7588800</v>
      </c>
      <c r="K22" s="112">
        <f>+J22*(1+'V. ENTRADA'!$D$5)</f>
        <v>7983417.6000000006</v>
      </c>
      <c r="L22" s="112">
        <f>+K22*(1+'V. ENTRADA'!$E$5)</f>
        <v>8398555.315200001</v>
      </c>
      <c r="M22" s="112">
        <f>+L22*(1+'V. ENTRADA'!$F$5)</f>
        <v>8835280.1915904023</v>
      </c>
    </row>
    <row r="23" spans="1:13" x14ac:dyDescent="0.25">
      <c r="A23" s="99" t="s">
        <v>187</v>
      </c>
      <c r="B23" s="101">
        <v>800000</v>
      </c>
      <c r="C23" s="107">
        <v>2</v>
      </c>
      <c r="D23" s="108">
        <f t="shared" si="4"/>
        <v>1600000</v>
      </c>
      <c r="E23" s="101">
        <f t="shared" ref="E23:E26" si="5">+D23*12</f>
        <v>19200000</v>
      </c>
      <c r="F23" s="101">
        <f t="shared" ref="F23:F25" si="6">+E23*0.518</f>
        <v>9945600</v>
      </c>
      <c r="H23" s="111"/>
      <c r="I23" s="112">
        <f>+E23+F23</f>
        <v>29145600</v>
      </c>
      <c r="J23" s="112">
        <f>+I23*(1+'V. ENTRADA'!$C$5)</f>
        <v>30719462.400000002</v>
      </c>
      <c r="K23" s="112">
        <f>+J23*(1+'V. ENTRADA'!$D$5)</f>
        <v>32316874.444800004</v>
      </c>
      <c r="L23" s="112">
        <f>+K23*(1+'V. ENTRADA'!$E$5)</f>
        <v>33997351.915929608</v>
      </c>
      <c r="M23" s="112">
        <f>+L23*(1+'V. ENTRADA'!$F$5)</f>
        <v>35765214.215557948</v>
      </c>
    </row>
    <row r="24" spans="1:13" x14ac:dyDescent="0.25">
      <c r="A24" s="99" t="s">
        <v>4</v>
      </c>
      <c r="B24" s="101">
        <v>3000000</v>
      </c>
      <c r="C24" s="107">
        <v>1</v>
      </c>
      <c r="D24" s="108">
        <f t="shared" si="4"/>
        <v>3000000</v>
      </c>
      <c r="E24" s="101">
        <f t="shared" si="5"/>
        <v>36000000</v>
      </c>
      <c r="F24" s="101">
        <f t="shared" si="6"/>
        <v>18648000</v>
      </c>
      <c r="H24" s="111"/>
      <c r="I24" s="112">
        <f>+E24+F24</f>
        <v>54648000</v>
      </c>
      <c r="J24" s="112">
        <f>+I24*(1+'V. ENTRADA'!$C$5)</f>
        <v>57598992</v>
      </c>
      <c r="K24" s="112">
        <f>+J24*(1+'V. ENTRADA'!$D$5)</f>
        <v>60594139.584000006</v>
      </c>
      <c r="L24" s="112">
        <f>+K24*(1+'V. ENTRADA'!$E$5)</f>
        <v>63745034.842368007</v>
      </c>
      <c r="M24" s="112">
        <f>+L24*(1+'V. ENTRADA'!$F$5)</f>
        <v>67059776.654171146</v>
      </c>
    </row>
    <row r="25" spans="1:13" x14ac:dyDescent="0.25">
      <c r="A25" s="99" t="s">
        <v>225</v>
      </c>
      <c r="B25" s="101">
        <v>1800000</v>
      </c>
      <c r="C25" s="107">
        <v>2</v>
      </c>
      <c r="D25" s="108">
        <f t="shared" si="4"/>
        <v>3600000</v>
      </c>
      <c r="E25" s="101">
        <f t="shared" si="5"/>
        <v>43200000</v>
      </c>
      <c r="F25" s="101">
        <f t="shared" si="6"/>
        <v>22377600</v>
      </c>
      <c r="H25" s="111"/>
      <c r="I25" s="112">
        <f>+E25+F25</f>
        <v>65577600</v>
      </c>
      <c r="J25" s="112">
        <f>+I25*(1+'V. ENTRADA'!$C$5)</f>
        <v>69118790.400000006</v>
      </c>
      <c r="K25" s="112">
        <f>+J25*(1+'V. ENTRADA'!$D$5)</f>
        <v>72712967.500800014</v>
      </c>
      <c r="L25" s="112">
        <f>+K25*(1+'V. ENTRADA'!$E$5)</f>
        <v>76494041.81084162</v>
      </c>
      <c r="M25" s="112">
        <f>+L25*(1+'V. ENTRADA'!$F$5)</f>
        <v>80471731.985005394</v>
      </c>
    </row>
    <row r="26" spans="1:13" x14ac:dyDescent="0.25">
      <c r="A26" s="99" t="s">
        <v>5</v>
      </c>
      <c r="B26" s="101">
        <v>700000</v>
      </c>
      <c r="C26" s="107">
        <v>1</v>
      </c>
      <c r="D26" s="108">
        <f t="shared" si="4"/>
        <v>700000</v>
      </c>
      <c r="E26" s="101">
        <f t="shared" si="5"/>
        <v>8400000</v>
      </c>
      <c r="F26" s="101">
        <v>0</v>
      </c>
      <c r="H26" s="111"/>
      <c r="I26" s="112">
        <f>+E26+F26</f>
        <v>8400000</v>
      </c>
      <c r="J26" s="112">
        <f>+I26*(1+'V. ENTRADA'!$C$5)</f>
        <v>8853600</v>
      </c>
      <c r="K26" s="112">
        <f>+J26*(1+'V. ENTRADA'!$D$5)</f>
        <v>9313987.2000000011</v>
      </c>
      <c r="L26" s="112">
        <f>+K26*(1+'V. ENTRADA'!$E$5)</f>
        <v>9798314.5344000012</v>
      </c>
      <c r="M26" s="112">
        <f>+L26*(1+'V. ENTRADA'!$F$5)</f>
        <v>10307826.890188802</v>
      </c>
    </row>
    <row r="27" spans="1:13" x14ac:dyDescent="0.25">
      <c r="A27" s="154" t="s">
        <v>1</v>
      </c>
      <c r="B27" s="161"/>
      <c r="C27" s="162"/>
      <c r="D27" s="163"/>
      <c r="E27" s="155">
        <f>+SUM(E22:E26)</f>
        <v>114000000</v>
      </c>
      <c r="F27" s="155">
        <f>+SUM(F22:F26)</f>
        <v>50971200</v>
      </c>
      <c r="H27" s="171"/>
      <c r="I27" s="159">
        <f>+SUM(I22:I26)</f>
        <v>164971200</v>
      </c>
      <c r="J27" s="159">
        <f t="shared" ref="J27:M27" si="7">+SUM(J22:J26)</f>
        <v>173879644.80000001</v>
      </c>
      <c r="K27" s="159">
        <f t="shared" si="7"/>
        <v>182921386.32960001</v>
      </c>
      <c r="L27" s="159">
        <f t="shared" si="7"/>
        <v>192433298.41873926</v>
      </c>
      <c r="M27" s="159">
        <f t="shared" si="7"/>
        <v>202439829.93651372</v>
      </c>
    </row>
    <row r="30" spans="1:13" x14ac:dyDescent="0.25">
      <c r="A30" s="97" t="s">
        <v>100</v>
      </c>
      <c r="B30" s="104"/>
    </row>
    <row r="31" spans="1:13" x14ac:dyDescent="0.25">
      <c r="A31" s="97" t="s">
        <v>17</v>
      </c>
      <c r="B31" s="98" t="s">
        <v>98</v>
      </c>
      <c r="C31" s="98" t="s">
        <v>99</v>
      </c>
      <c r="D31" s="160" t="s">
        <v>45</v>
      </c>
      <c r="E31" s="160" t="s">
        <v>224</v>
      </c>
      <c r="F31" s="2"/>
      <c r="H31" s="96">
        <f t="shared" ref="H31:M31" si="8">+H21</f>
        <v>2017</v>
      </c>
      <c r="I31" s="96">
        <f t="shared" si="8"/>
        <v>2018</v>
      </c>
      <c r="J31" s="96">
        <f t="shared" si="8"/>
        <v>2019</v>
      </c>
      <c r="K31" s="96">
        <f t="shared" si="8"/>
        <v>2020</v>
      </c>
      <c r="L31" s="96">
        <f t="shared" si="8"/>
        <v>2021</v>
      </c>
      <c r="M31" s="96">
        <f t="shared" si="8"/>
        <v>2022</v>
      </c>
    </row>
    <row r="32" spans="1:13" x14ac:dyDescent="0.25">
      <c r="A32" s="99" t="s">
        <v>7</v>
      </c>
      <c r="B32" s="101">
        <v>50000</v>
      </c>
      <c r="C32" s="99">
        <v>1</v>
      </c>
      <c r="D32" s="108">
        <f>+C32*B32</f>
        <v>50000</v>
      </c>
      <c r="E32" s="108">
        <f>D32*12</f>
        <v>600000</v>
      </c>
      <c r="H32" s="15"/>
      <c r="I32" s="112">
        <f t="shared" ref="I32:I36" si="9">+D32*12</f>
        <v>600000</v>
      </c>
      <c r="J32" s="112">
        <f>+I32*(1+'V. ENTRADA'!$C$2)</f>
        <v>618000</v>
      </c>
      <c r="K32" s="112">
        <f>+J32*(1+'V. ENTRADA'!$D$2)</f>
        <v>642102</v>
      </c>
      <c r="L32" s="112">
        <f>+K32*(1+'V. ENTRADA'!$E$2)</f>
        <v>665859.77399999998</v>
      </c>
      <c r="M32" s="112">
        <f>+L32*(1+'V. ENTRADA'!$F$2)</f>
        <v>690496.58563799993</v>
      </c>
    </row>
    <row r="33" spans="1:13" x14ac:dyDescent="0.25">
      <c r="A33" s="99" t="s">
        <v>8</v>
      </c>
      <c r="B33" s="101">
        <v>700000</v>
      </c>
      <c r="C33" s="99">
        <v>1</v>
      </c>
      <c r="D33" s="108">
        <f>+C33*B33</f>
        <v>700000</v>
      </c>
      <c r="E33" s="108">
        <f t="shared" ref="E33:E36" si="10">D33*12</f>
        <v>8400000</v>
      </c>
      <c r="H33" s="15"/>
      <c r="I33" s="112">
        <f t="shared" si="9"/>
        <v>8400000</v>
      </c>
      <c r="J33" s="112">
        <f>+I33*(1+'V. ENTRADA'!$C$2)</f>
        <v>8652000</v>
      </c>
      <c r="K33" s="112">
        <f>+J33*(1+'V. ENTRADA'!$D$2)</f>
        <v>8989428</v>
      </c>
      <c r="L33" s="112">
        <f>+K33*(1+'V. ENTRADA'!$E$2)</f>
        <v>9322036.8359999992</v>
      </c>
      <c r="M33" s="112">
        <f>+L33*(1+'V. ENTRADA'!$F$2)</f>
        <v>9666952.1989319976</v>
      </c>
    </row>
    <row r="34" spans="1:13" hidden="1" x14ac:dyDescent="0.25">
      <c r="A34" s="99" t="s">
        <v>10</v>
      </c>
      <c r="B34" s="101">
        <v>0</v>
      </c>
      <c r="C34" s="99">
        <v>1</v>
      </c>
      <c r="D34" s="108">
        <f>+C34*B34</f>
        <v>0</v>
      </c>
      <c r="E34" s="108">
        <f t="shared" si="10"/>
        <v>0</v>
      </c>
      <c r="H34" s="15"/>
      <c r="I34" s="112">
        <f t="shared" si="9"/>
        <v>0</v>
      </c>
      <c r="J34" s="112">
        <f>+I34*(1+'V. ENTRADA'!$C$2)</f>
        <v>0</v>
      </c>
      <c r="K34" s="112">
        <f>+J34*(1+'V. ENTRADA'!$D$2)</f>
        <v>0</v>
      </c>
      <c r="L34" s="112">
        <f>+K34*(1+'V. ENTRADA'!$E$2)</f>
        <v>0</v>
      </c>
      <c r="M34" s="112">
        <f>+L34*(1+'V. ENTRADA'!$F$2)</f>
        <v>0</v>
      </c>
    </row>
    <row r="35" spans="1:13" x14ac:dyDescent="0.25">
      <c r="A35" s="99" t="s">
        <v>11</v>
      </c>
      <c r="B35" s="101">
        <v>80000</v>
      </c>
      <c r="C35" s="99">
        <v>1</v>
      </c>
      <c r="D35" s="108">
        <f>+C35*B35</f>
        <v>80000</v>
      </c>
      <c r="E35" s="108">
        <f t="shared" si="10"/>
        <v>960000</v>
      </c>
      <c r="H35" s="15"/>
      <c r="I35" s="112">
        <f t="shared" si="9"/>
        <v>960000</v>
      </c>
      <c r="J35" s="112">
        <f>+I35*(1+'V. ENTRADA'!$C$2)</f>
        <v>988800</v>
      </c>
      <c r="K35" s="112">
        <f>+J35*(1+'V. ENTRADA'!$D$2)</f>
        <v>1027363.2</v>
      </c>
      <c r="L35" s="112">
        <f>+K35*(1+'V. ENTRADA'!$E$2)</f>
        <v>1065375.6383999998</v>
      </c>
      <c r="M35" s="112">
        <f>+L35*(1+'V. ENTRADA'!$F$2)</f>
        <v>1104794.5370207997</v>
      </c>
    </row>
    <row r="36" spans="1:13" x14ac:dyDescent="0.25">
      <c r="A36" s="99" t="s">
        <v>12</v>
      </c>
      <c r="B36" s="101">
        <v>120000</v>
      </c>
      <c r="C36" s="99">
        <v>1</v>
      </c>
      <c r="D36" s="108">
        <f>+C36*B36</f>
        <v>120000</v>
      </c>
      <c r="E36" s="108">
        <f t="shared" si="10"/>
        <v>1440000</v>
      </c>
      <c r="H36" s="15"/>
      <c r="I36" s="112">
        <f t="shared" si="9"/>
        <v>1440000</v>
      </c>
      <c r="J36" s="112">
        <f>+I36*(1+'V. ENTRADA'!$C$2)</f>
        <v>1483200</v>
      </c>
      <c r="K36" s="112">
        <f>+J36*(1+'V. ENTRADA'!$D$2)</f>
        <v>1541044.7999999998</v>
      </c>
      <c r="L36" s="112">
        <f>+K36*(1+'V. ENTRADA'!$E$2)</f>
        <v>1598063.4575999996</v>
      </c>
      <c r="M36" s="112">
        <f>+L36*(1+'V. ENTRADA'!$F$2)</f>
        <v>1657191.8055311996</v>
      </c>
    </row>
    <row r="37" spans="1:13" x14ac:dyDescent="0.25">
      <c r="A37" s="99" t="s">
        <v>9</v>
      </c>
      <c r="B37" s="110">
        <f>+D37/12</f>
        <v>300000</v>
      </c>
      <c r="C37" s="99">
        <v>1</v>
      </c>
      <c r="D37" s="101">
        <f>+B46*'V. ENTRADA'!B22</f>
        <v>3600000</v>
      </c>
      <c r="E37" s="108">
        <f>D37*1</f>
        <v>3600000</v>
      </c>
      <c r="H37" s="15"/>
      <c r="I37" s="112">
        <f>+D37</f>
        <v>3600000</v>
      </c>
      <c r="J37" s="112">
        <f>+I37*(1+'V. ENTRADA'!$C$2)</f>
        <v>3708000</v>
      </c>
      <c r="K37" s="112">
        <f>+J37*(1+'V. ENTRADA'!$D$2)</f>
        <v>3852611.9999999995</v>
      </c>
      <c r="L37" s="112">
        <f>+K37*(1+'V. ENTRADA'!$E$2)</f>
        <v>3995158.6439999994</v>
      </c>
      <c r="M37" s="112">
        <f>+L37*(1+'V. ENTRADA'!$F$2)</f>
        <v>4142979.5138279991</v>
      </c>
    </row>
    <row r="38" spans="1:13" hidden="1" x14ac:dyDescent="0.25">
      <c r="A38" s="99" t="s">
        <v>5</v>
      </c>
      <c r="B38" s="101">
        <v>0</v>
      </c>
      <c r="C38" s="99">
        <v>1</v>
      </c>
      <c r="D38" s="101">
        <f>B38*C38</f>
        <v>0</v>
      </c>
      <c r="E38" s="2"/>
      <c r="H38" s="121"/>
      <c r="I38" s="112">
        <f>+I8*'V. ENTRADA'!C21</f>
        <v>0</v>
      </c>
      <c r="J38" s="112">
        <f>+J8*'V. ENTRADA'!D21</f>
        <v>0</v>
      </c>
      <c r="K38" s="112">
        <f>+K8*'V. ENTRADA'!E21</f>
        <v>0</v>
      </c>
      <c r="L38" s="112">
        <f>+L8*'V. ENTRADA'!F21</f>
        <v>0</v>
      </c>
      <c r="M38" s="112">
        <f>+M8*'V. ENTRADA'!G21</f>
        <v>0</v>
      </c>
    </row>
    <row r="39" spans="1:13" x14ac:dyDescent="0.25">
      <c r="A39" s="99" t="s">
        <v>115</v>
      </c>
      <c r="B39" s="101"/>
      <c r="C39" s="99"/>
      <c r="D39" s="103"/>
      <c r="E39" s="103"/>
      <c r="H39" s="121"/>
      <c r="I39" s="112">
        <f>+DEPRECIACIONES!C15</f>
        <v>1510000</v>
      </c>
      <c r="J39" s="112">
        <f>+DEPRECIACIONES!D15</f>
        <v>1510000</v>
      </c>
      <c r="K39" s="112">
        <f>+DEPRECIACIONES!E15</f>
        <v>1510000</v>
      </c>
      <c r="L39" s="112">
        <f>+DEPRECIACIONES!F15</f>
        <v>1510000</v>
      </c>
      <c r="M39" s="112">
        <f>+DEPRECIACIONES!G15</f>
        <v>1510000</v>
      </c>
    </row>
    <row r="40" spans="1:13" x14ac:dyDescent="0.25">
      <c r="A40" s="154" t="s">
        <v>1</v>
      </c>
      <c r="B40" s="164"/>
      <c r="C40" s="162"/>
      <c r="D40" s="165">
        <f>SUM(D32:D37)</f>
        <v>4550000</v>
      </c>
      <c r="E40" s="165">
        <f>SUM(E32:E37)</f>
        <v>15000000</v>
      </c>
      <c r="H40" s="172">
        <f t="shared" ref="H40:M40" si="11">+SUM(H32:H39)</f>
        <v>0</v>
      </c>
      <c r="I40" s="159">
        <f t="shared" si="11"/>
        <v>16510000</v>
      </c>
      <c r="J40" s="159">
        <f t="shared" si="11"/>
        <v>16960000</v>
      </c>
      <c r="K40" s="159">
        <f t="shared" si="11"/>
        <v>17562550</v>
      </c>
      <c r="L40" s="159">
        <f t="shared" si="11"/>
        <v>18156494.349999998</v>
      </c>
      <c r="M40" s="159">
        <f t="shared" si="11"/>
        <v>18772414.640949994</v>
      </c>
    </row>
    <row r="42" spans="1:13" x14ac:dyDescent="0.25">
      <c r="A42" s="97" t="s">
        <v>101</v>
      </c>
      <c r="B42" s="104"/>
      <c r="C42" s="9"/>
      <c r="D42" s="9"/>
      <c r="E42" s="9"/>
    </row>
    <row r="43" spans="1:13" x14ac:dyDescent="0.25">
      <c r="A43" s="109" t="s">
        <v>2</v>
      </c>
      <c r="B43" s="98">
        <f>+H21</f>
        <v>2017</v>
      </c>
      <c r="C43" s="98">
        <f>+L21</f>
        <v>2021</v>
      </c>
      <c r="D43" s="9"/>
      <c r="E43" s="9"/>
      <c r="H43" s="96">
        <f t="shared" ref="H43:M43" si="12">+H31</f>
        <v>2017</v>
      </c>
      <c r="I43" s="96">
        <f t="shared" si="12"/>
        <v>2018</v>
      </c>
      <c r="J43" s="96">
        <f t="shared" si="12"/>
        <v>2019</v>
      </c>
      <c r="K43" s="96">
        <f t="shared" si="12"/>
        <v>2020</v>
      </c>
      <c r="L43" s="96">
        <f t="shared" si="12"/>
        <v>2021</v>
      </c>
      <c r="M43" s="96">
        <f t="shared" si="12"/>
        <v>2022</v>
      </c>
    </row>
    <row r="44" spans="1:13" x14ac:dyDescent="0.25">
      <c r="A44" s="99" t="s">
        <v>110</v>
      </c>
      <c r="B44" s="101">
        <f>DEPRECIACIONES!B4</f>
        <v>102000000</v>
      </c>
      <c r="C44" s="102"/>
      <c r="D44" s="11"/>
      <c r="E44" s="11"/>
      <c r="F44" s="1"/>
      <c r="G44" s="1"/>
      <c r="H44" s="112">
        <f>+B44</f>
        <v>102000000</v>
      </c>
      <c r="I44" s="15"/>
      <c r="J44" s="15"/>
      <c r="K44" s="15"/>
      <c r="L44" s="15">
        <f>+C44</f>
        <v>0</v>
      </c>
      <c r="M44" s="15"/>
    </row>
    <row r="45" spans="1:13" x14ac:dyDescent="0.25">
      <c r="A45" s="99" t="s">
        <v>3</v>
      </c>
      <c r="B45" s="101">
        <v>125000000</v>
      </c>
      <c r="C45" s="102"/>
      <c r="D45" s="11"/>
      <c r="E45" s="11"/>
      <c r="F45" s="1"/>
      <c r="G45" s="1"/>
      <c r="H45" s="112">
        <f t="shared" ref="H45:H46" si="13">+B45</f>
        <v>125000000</v>
      </c>
      <c r="I45" s="15"/>
      <c r="J45" s="15"/>
      <c r="K45" s="15"/>
      <c r="L45" s="15"/>
      <c r="M45" s="15"/>
    </row>
    <row r="46" spans="1:13" x14ac:dyDescent="0.25">
      <c r="A46" s="99" t="s">
        <v>112</v>
      </c>
      <c r="B46" s="101">
        <v>600000000</v>
      </c>
      <c r="C46" s="102"/>
      <c r="D46" s="11"/>
      <c r="E46" s="11"/>
      <c r="F46" s="1"/>
      <c r="G46" s="1"/>
      <c r="H46" s="112">
        <f t="shared" si="13"/>
        <v>600000000</v>
      </c>
      <c r="I46" s="15"/>
      <c r="J46" s="15"/>
      <c r="K46" s="15"/>
      <c r="L46" s="15"/>
      <c r="M46" s="15"/>
    </row>
    <row r="47" spans="1:13" x14ac:dyDescent="0.25">
      <c r="A47" s="154" t="s">
        <v>1</v>
      </c>
      <c r="B47" s="155">
        <f>+SUM(B44:B46)</f>
        <v>827000000</v>
      </c>
      <c r="C47" s="156">
        <f>+SUM(C44:C46)</f>
        <v>0</v>
      </c>
      <c r="H47" s="112"/>
      <c r="I47" s="15"/>
      <c r="J47" s="15"/>
      <c r="K47" s="15"/>
      <c r="L47" s="15"/>
      <c r="M47" s="15"/>
    </row>
    <row r="48" spans="1:13" x14ac:dyDescent="0.25">
      <c r="H48" s="159">
        <f t="shared" ref="H48:M48" si="14">+SUM(H44:H47)</f>
        <v>827000000</v>
      </c>
      <c r="I48" s="172">
        <f t="shared" si="14"/>
        <v>0</v>
      </c>
      <c r="J48" s="172">
        <f t="shared" si="14"/>
        <v>0</v>
      </c>
      <c r="K48" s="172">
        <f t="shared" si="14"/>
        <v>0</v>
      </c>
      <c r="L48" s="172">
        <f t="shared" si="14"/>
        <v>0</v>
      </c>
      <c r="M48" s="172">
        <f t="shared" si="14"/>
        <v>0</v>
      </c>
    </row>
    <row r="53" spans="7:13" x14ac:dyDescent="0.25">
      <c r="G53" s="118" t="s">
        <v>56</v>
      </c>
      <c r="H53" s="113">
        <f>+H48*'V. ENTRADA'!B29</f>
        <v>772897196.26168227</v>
      </c>
      <c r="I53" s="5">
        <f>+I48*'V. ENTRADA'!C29</f>
        <v>0</v>
      </c>
      <c r="J53" s="5">
        <f>+J48*'V. ENTRADA'!D29</f>
        <v>0</v>
      </c>
      <c r="K53" s="5">
        <f>+K48*'V. ENTRADA'!E29</f>
        <v>0</v>
      </c>
      <c r="L53" s="5">
        <f>+L48*'V. ENTRADA'!F29</f>
        <v>0</v>
      </c>
      <c r="M53" s="5">
        <f>+M48*'V. ENTRADA'!G29</f>
        <v>0</v>
      </c>
    </row>
    <row r="54" spans="7:13" x14ac:dyDescent="0.25">
      <c r="G54" s="173" t="s">
        <v>55</v>
      </c>
      <c r="H54" s="174">
        <f>+H48-H53</f>
        <v>54102803.738317728</v>
      </c>
      <c r="I54" s="175">
        <f t="shared" ref="I54:M54" si="15">+I48-I53</f>
        <v>0</v>
      </c>
      <c r="J54" s="175">
        <f t="shared" si="15"/>
        <v>0</v>
      </c>
      <c r="K54" s="175">
        <f t="shared" si="15"/>
        <v>0</v>
      </c>
      <c r="L54" s="175">
        <f t="shared" si="15"/>
        <v>0</v>
      </c>
      <c r="M54" s="175">
        <f t="shared" si="15"/>
        <v>0</v>
      </c>
    </row>
    <row r="58" spans="7:13" x14ac:dyDescent="0.25">
      <c r="H58" s="129">
        <f>H53+H54</f>
        <v>827000000</v>
      </c>
    </row>
    <row r="59" spans="7:13" x14ac:dyDescent="0.25">
      <c r="H59" s="166">
        <f>H58-600000000</f>
        <v>227000000</v>
      </c>
      <c r="I59" s="21">
        <f>H59/H58</f>
        <v>0.27448609431680776</v>
      </c>
    </row>
    <row r="60" spans="7:13" x14ac:dyDescent="0.25">
      <c r="H60" s="129">
        <f>H59-H54</f>
        <v>172897196.26168227</v>
      </c>
    </row>
    <row r="61" spans="7:13" x14ac:dyDescent="0.25">
      <c r="H61" t="s">
        <v>189</v>
      </c>
    </row>
    <row r="62" spans="7:13" x14ac:dyDescent="0.25">
      <c r="H62" t="s">
        <v>189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zoomScale="107" zoomScaleNormal="86" zoomScalePageLayoutView="86" workbookViewId="0">
      <selection activeCell="H30" sqref="H30"/>
    </sheetView>
  </sheetViews>
  <sheetFormatPr baseColWidth="10" defaultColWidth="10.875" defaultRowHeight="15.75" x14ac:dyDescent="0.25"/>
  <cols>
    <col min="1" max="1" width="26" style="29" bestFit="1" customWidth="1"/>
    <col min="2" max="2" width="5.125" style="29" bestFit="1" customWidth="1"/>
    <col min="3" max="5" width="17.625" style="29" bestFit="1" customWidth="1"/>
    <col min="6" max="7" width="18.625" style="29" bestFit="1" customWidth="1"/>
    <col min="8" max="8" width="16.875" style="29" customWidth="1"/>
    <col min="9" max="9" width="16.875" style="29" bestFit="1" customWidth="1"/>
    <col min="10" max="10" width="13.375" style="29" bestFit="1" customWidth="1"/>
    <col min="11" max="16384" width="10.875" style="29"/>
  </cols>
  <sheetData>
    <row r="1" spans="1:14" ht="18.75" x14ac:dyDescent="0.3">
      <c r="A1" s="176" t="s">
        <v>102</v>
      </c>
    </row>
    <row r="2" spans="1:14" ht="18.75" x14ac:dyDescent="0.3">
      <c r="A2" s="176" t="s">
        <v>116</v>
      </c>
    </row>
    <row r="4" spans="1:14" x14ac:dyDescent="0.25">
      <c r="A4" s="39"/>
      <c r="B4" s="96">
        <v>2017</v>
      </c>
      <c r="C4" s="96">
        <f>+B4+1</f>
        <v>2018</v>
      </c>
      <c r="D4" s="96">
        <f t="shared" ref="D4:G4" si="0">+C4+1</f>
        <v>2019</v>
      </c>
      <c r="E4" s="96">
        <f t="shared" si="0"/>
        <v>2020</v>
      </c>
      <c r="F4" s="96">
        <f t="shared" si="0"/>
        <v>2021</v>
      </c>
      <c r="G4" s="96">
        <f t="shared" si="0"/>
        <v>2022</v>
      </c>
    </row>
    <row r="5" spans="1:14" x14ac:dyDescent="0.25">
      <c r="A5" s="8" t="s">
        <v>108</v>
      </c>
      <c r="B5" s="8"/>
      <c r="C5" s="122">
        <f>+PRESUPUESTOS!I8</f>
        <v>311000000</v>
      </c>
      <c r="D5" s="122">
        <f>+PRESUPUESTOS!J8</f>
        <v>328658580</v>
      </c>
      <c r="E5" s="122">
        <f>+PRESUPUESTOS!K8</f>
        <v>351720552.55859995</v>
      </c>
      <c r="F5" s="122">
        <f>+PRESUPUESTOS!L8</f>
        <v>375676239.39336616</v>
      </c>
      <c r="G5" s="122">
        <f>+PRESUPUESTOS!M8</f>
        <v>401263548.0584482</v>
      </c>
      <c r="H5" s="30"/>
    </row>
    <row r="6" spans="1:14" x14ac:dyDescent="0.25">
      <c r="A6" s="8" t="s">
        <v>30</v>
      </c>
      <c r="B6" s="8"/>
      <c r="C6" s="123">
        <f>+PRESUPUESTOS!I17+PRESUPUESTOS!I22+PRESUPUESTOS!I23</f>
        <v>65035600</v>
      </c>
      <c r="D6" s="123">
        <f>+PRESUPUESTOS!J17+PRESUPUESTOS!J22+PRESUPUESTOS!J23</f>
        <v>66998262.400000006</v>
      </c>
      <c r="E6" s="123">
        <f>+PRESUPUESTOS!K17+PRESUPUESTOS!K22+PRESUPUESTOS!K23</f>
        <v>68990292.044800013</v>
      </c>
      <c r="F6" s="123">
        <f>+PRESUPUESTOS!L17+PRESUPUESTOS!L22+PRESUPUESTOS!L23</f>
        <v>71085907.231129616</v>
      </c>
      <c r="G6" s="123">
        <f>+PRESUPUESTOS!M17+PRESUPUESTOS!M22+PRESUPUESTOS!M23</f>
        <v>73290494.407148346</v>
      </c>
      <c r="H6" s="30"/>
      <c r="I6" s="40"/>
      <c r="J6" s="40"/>
      <c r="K6" s="40"/>
    </row>
    <row r="7" spans="1:14" x14ac:dyDescent="0.25">
      <c r="A7" s="8" t="s">
        <v>6</v>
      </c>
      <c r="B7" s="8"/>
      <c r="C7" s="123">
        <f>+PRESUPUESTOS!I15</f>
        <v>28690000</v>
      </c>
      <c r="D7" s="123">
        <f>+PRESUPUESTOS!J15</f>
        <v>28690000</v>
      </c>
      <c r="E7" s="123">
        <f>+PRESUPUESTOS!K15</f>
        <v>28690000</v>
      </c>
      <c r="F7" s="123">
        <f>+PRESUPUESTOS!L15</f>
        <v>28690000</v>
      </c>
      <c r="G7" s="123">
        <f>+DEPRECIACIONES!G14</f>
        <v>28690000</v>
      </c>
      <c r="H7" s="30"/>
      <c r="I7" s="40">
        <v>10516</v>
      </c>
      <c r="J7" s="40"/>
      <c r="K7" s="40"/>
    </row>
    <row r="8" spans="1:14" x14ac:dyDescent="0.25">
      <c r="A8" s="157" t="s">
        <v>31</v>
      </c>
      <c r="B8" s="157"/>
      <c r="C8" s="159">
        <f>+C5-SUM(C6:C7)</f>
        <v>217274400</v>
      </c>
      <c r="D8" s="159">
        <f t="shared" ref="D8:G8" si="1">+D5-SUM(D6:D7)</f>
        <v>232970317.59999999</v>
      </c>
      <c r="E8" s="159">
        <f t="shared" si="1"/>
        <v>254040260.51379994</v>
      </c>
      <c r="F8" s="159">
        <f t="shared" si="1"/>
        <v>275900332.16223657</v>
      </c>
      <c r="G8" s="159">
        <f t="shared" si="1"/>
        <v>299283053.65129983</v>
      </c>
      <c r="H8" s="41"/>
      <c r="I8" s="38">
        <v>105000</v>
      </c>
      <c r="J8" s="41"/>
      <c r="K8" s="41"/>
      <c r="L8" s="41"/>
      <c r="M8" s="41"/>
      <c r="N8" s="41"/>
    </row>
    <row r="9" spans="1:14" x14ac:dyDescent="0.25">
      <c r="A9" s="157" t="s">
        <v>109</v>
      </c>
      <c r="B9" s="157"/>
      <c r="C9" s="159">
        <f>+SUM(C10:C18)</f>
        <v>145135600</v>
      </c>
      <c r="D9" s="159">
        <f t="shared" ref="D9:G9" si="2">+SUM(D10:D18)</f>
        <v>152531382.40000001</v>
      </c>
      <c r="E9" s="159">
        <f t="shared" si="2"/>
        <v>160183644.28480002</v>
      </c>
      <c r="F9" s="159">
        <f t="shared" si="2"/>
        <v>168193885.53760958</v>
      </c>
      <c r="G9" s="159">
        <f t="shared" si="2"/>
        <v>176611750.17031536</v>
      </c>
      <c r="H9" s="30"/>
      <c r="I9" s="68">
        <f>+I8*I7</f>
        <v>1104180000</v>
      </c>
    </row>
    <row r="10" spans="1:14" x14ac:dyDescent="0.25">
      <c r="A10" s="8" t="s">
        <v>13</v>
      </c>
      <c r="B10" s="8"/>
      <c r="C10" s="122">
        <f>+SUM(PRESUPUESTOS!I24:I26)</f>
        <v>128625600</v>
      </c>
      <c r="D10" s="122">
        <f>+SUM(PRESUPUESTOS!J24:J26)</f>
        <v>135571382.40000001</v>
      </c>
      <c r="E10" s="122">
        <f>+SUM(PRESUPUESTOS!K24:K26)</f>
        <v>142621094.28480002</v>
      </c>
      <c r="F10" s="122">
        <f>+SUM(PRESUPUESTOS!L24:L26)</f>
        <v>150037391.18760961</v>
      </c>
      <c r="G10" s="122">
        <f>+SUM(PRESUPUESTOS!M24:M26)</f>
        <v>157839335.52936536</v>
      </c>
      <c r="H10" s="30"/>
      <c r="I10" s="38">
        <f>+I9*0.55</f>
        <v>607299000</v>
      </c>
    </row>
    <row r="11" spans="1:14" x14ac:dyDescent="0.25">
      <c r="A11" s="8" t="s">
        <v>14</v>
      </c>
      <c r="B11" s="8"/>
      <c r="C11" s="122">
        <f>+PRESUPUESTOS!I33</f>
        <v>8400000</v>
      </c>
      <c r="D11" s="122">
        <f>+PRESUPUESTOS!J33</f>
        <v>8652000</v>
      </c>
      <c r="E11" s="122">
        <f>+PRESUPUESTOS!K33</f>
        <v>8989428</v>
      </c>
      <c r="F11" s="122">
        <f>+PRESUPUESTOS!L33</f>
        <v>9322036.8359999992</v>
      </c>
      <c r="G11" s="122">
        <f>+PRESUPUESTOS!M33</f>
        <v>9666952.1989319976</v>
      </c>
      <c r="H11" s="30"/>
      <c r="I11" s="30">
        <f>+I9-I10</f>
        <v>496881000</v>
      </c>
    </row>
    <row r="12" spans="1:14" x14ac:dyDescent="0.25">
      <c r="A12" s="8" t="s">
        <v>15</v>
      </c>
      <c r="B12" s="8"/>
      <c r="C12" s="122">
        <f>+PRESUPUESTOS!I35</f>
        <v>960000</v>
      </c>
      <c r="D12" s="122">
        <f>+PRESUPUESTOS!J35</f>
        <v>988800</v>
      </c>
      <c r="E12" s="122">
        <f>+PRESUPUESTOS!K35</f>
        <v>1027363.2</v>
      </c>
      <c r="F12" s="122">
        <f>+PRESUPUESTOS!L35</f>
        <v>1065375.6383999998</v>
      </c>
      <c r="G12" s="122">
        <f>+PRESUPUESTOS!M35</f>
        <v>1104794.5370207997</v>
      </c>
      <c r="H12" s="30"/>
    </row>
    <row r="13" spans="1:14" x14ac:dyDescent="0.25">
      <c r="A13" s="8" t="s">
        <v>7</v>
      </c>
      <c r="B13" s="8"/>
      <c r="C13" s="122">
        <f>+PRESUPUESTOS!I32</f>
        <v>600000</v>
      </c>
      <c r="D13" s="122">
        <f>+PRESUPUESTOS!J32</f>
        <v>618000</v>
      </c>
      <c r="E13" s="122">
        <f>+PRESUPUESTOS!K32</f>
        <v>642102</v>
      </c>
      <c r="F13" s="122">
        <f>+PRESUPUESTOS!L32</f>
        <v>665859.77399999998</v>
      </c>
      <c r="G13" s="122">
        <f>+PRESUPUESTOS!M32</f>
        <v>690496.58563799993</v>
      </c>
      <c r="H13" s="30"/>
    </row>
    <row r="14" spans="1:14" x14ac:dyDescent="0.25">
      <c r="A14" s="8" t="s">
        <v>9</v>
      </c>
      <c r="B14" s="8"/>
      <c r="C14" s="122">
        <f>+PRESUPUESTOS!I37</f>
        <v>3600000</v>
      </c>
      <c r="D14" s="122">
        <f>+PRESUPUESTOS!J37</f>
        <v>3708000</v>
      </c>
      <c r="E14" s="122">
        <f>+PRESUPUESTOS!K37</f>
        <v>3852611.9999999995</v>
      </c>
      <c r="F14" s="122">
        <f>+PRESUPUESTOS!L37</f>
        <v>3995158.6439999994</v>
      </c>
      <c r="G14" s="122">
        <f>+PRESUPUESTOS!M37</f>
        <v>4142979.5138279991</v>
      </c>
      <c r="H14" s="30"/>
    </row>
    <row r="15" spans="1:14" x14ac:dyDescent="0.25">
      <c r="A15" s="8" t="s">
        <v>10</v>
      </c>
      <c r="B15" s="8"/>
      <c r="C15" s="122">
        <f>+PRESUPUESTOS!I34</f>
        <v>0</v>
      </c>
      <c r="D15" s="122">
        <f>+PRESUPUESTOS!J34</f>
        <v>0</v>
      </c>
      <c r="E15" s="122">
        <f>+PRESUPUESTOS!K34</f>
        <v>0</v>
      </c>
      <c r="F15" s="122">
        <f>+PRESUPUESTOS!L34</f>
        <v>0</v>
      </c>
      <c r="G15" s="122">
        <f>+PRESUPUESTOS!M34</f>
        <v>0</v>
      </c>
      <c r="H15" s="30"/>
    </row>
    <row r="16" spans="1:14" x14ac:dyDescent="0.25">
      <c r="A16" s="8" t="s">
        <v>12</v>
      </c>
      <c r="B16" s="8"/>
      <c r="C16" s="122">
        <f>+PRESUPUESTOS!I36</f>
        <v>1440000</v>
      </c>
      <c r="D16" s="122">
        <f>+PRESUPUESTOS!J36</f>
        <v>1483200</v>
      </c>
      <c r="E16" s="122">
        <f>+PRESUPUESTOS!K36</f>
        <v>1541044.7999999998</v>
      </c>
      <c r="F16" s="122">
        <f>+PRESUPUESTOS!L36</f>
        <v>1598063.4575999996</v>
      </c>
      <c r="G16" s="122">
        <f>+PRESUPUESTOS!M36</f>
        <v>1657191.8055311996</v>
      </c>
      <c r="H16" s="30"/>
    </row>
    <row r="17" spans="1:14" x14ac:dyDescent="0.25">
      <c r="A17" s="8" t="s">
        <v>16</v>
      </c>
      <c r="B17" s="8"/>
      <c r="C17" s="123">
        <f>+PRESUPUESTOS!I38</f>
        <v>0</v>
      </c>
      <c r="D17" s="123">
        <f>+PRESUPUESTOS!J38</f>
        <v>0</v>
      </c>
      <c r="E17" s="123">
        <f>+PRESUPUESTOS!K38</f>
        <v>0</v>
      </c>
      <c r="F17" s="123">
        <f>+PRESUPUESTOS!L38</f>
        <v>0</v>
      </c>
      <c r="G17" s="123">
        <f>+PRESUPUESTOS!M38</f>
        <v>0</v>
      </c>
      <c r="H17" s="30"/>
      <c r="I17" s="130">
        <f>C6+C7</f>
        <v>93725600</v>
      </c>
      <c r="J17" s="29">
        <f>I17/C5</f>
        <v>0.30136848874598071</v>
      </c>
    </row>
    <row r="18" spans="1:14" x14ac:dyDescent="0.25">
      <c r="A18" s="8" t="s">
        <v>6</v>
      </c>
      <c r="B18" s="8"/>
      <c r="C18" s="123">
        <f>+PRESUPUESTOS!I39</f>
        <v>1510000</v>
      </c>
      <c r="D18" s="123">
        <f>+PRESUPUESTOS!J39</f>
        <v>1510000</v>
      </c>
      <c r="E18" s="123">
        <f>+PRESUPUESTOS!K39</f>
        <v>1510000</v>
      </c>
      <c r="F18" s="123">
        <f>+PRESUPUESTOS!L39</f>
        <v>1510000</v>
      </c>
      <c r="G18" s="123">
        <f>+PRESUPUESTOS!M39</f>
        <v>1510000</v>
      </c>
      <c r="H18" s="30"/>
    </row>
    <row r="19" spans="1:14" x14ac:dyDescent="0.25">
      <c r="A19" s="157" t="s">
        <v>191</v>
      </c>
      <c r="B19" s="157"/>
      <c r="C19" s="159">
        <f>C8-C9</f>
        <v>72138800</v>
      </c>
      <c r="D19" s="159">
        <f t="shared" ref="D19:G19" si="3">D8-D9</f>
        <v>80438935.199999988</v>
      </c>
      <c r="E19" s="159">
        <f t="shared" si="3"/>
        <v>93856616.228999913</v>
      </c>
      <c r="F19" s="159">
        <f t="shared" si="3"/>
        <v>107706446.62462699</v>
      </c>
      <c r="G19" s="159">
        <f t="shared" si="3"/>
        <v>122671303.48098448</v>
      </c>
      <c r="H19" s="42"/>
      <c r="I19" s="42"/>
      <c r="J19" s="42"/>
      <c r="K19" s="42"/>
      <c r="L19" s="42"/>
      <c r="M19" s="42"/>
      <c r="N19" s="42"/>
    </row>
    <row r="20" spans="1:14" x14ac:dyDescent="0.25">
      <c r="A20" s="8" t="s">
        <v>18</v>
      </c>
      <c r="B20" s="8"/>
      <c r="C20" s="122">
        <f>+'TABLA AMORT'!C8</f>
        <v>6697927.1028037351</v>
      </c>
      <c r="D20" s="122">
        <f>+'TABLA AMORT'!C9</f>
        <v>4476928.9347518068</v>
      </c>
      <c r="E20" s="122">
        <f>+'TABLA AMORT'!C10</f>
        <v>3810887.3511828925</v>
      </c>
      <c r="F20" s="122">
        <f>+'TABLA AMORT'!C11</f>
        <v>2619893.9671003753</v>
      </c>
      <c r="G20" s="122">
        <f>+'TABLA AMORT'!C12+'TABLA AMORT'!C24</f>
        <v>1375063.5228578846</v>
      </c>
      <c r="H20" s="30"/>
    </row>
    <row r="21" spans="1:14" x14ac:dyDescent="0.25">
      <c r="A21" s="157" t="s">
        <v>190</v>
      </c>
      <c r="B21" s="157"/>
      <c r="C21" s="159">
        <f>+C19-C20</f>
        <v>65440872.897196263</v>
      </c>
      <c r="D21" s="159">
        <f>+D19-D20</f>
        <v>75962006.265248179</v>
      </c>
      <c r="E21" s="159">
        <f t="shared" ref="E21:G21" si="4">+E19-E20</f>
        <v>90045728.87781702</v>
      </c>
      <c r="F21" s="159">
        <f t="shared" si="4"/>
        <v>105086552.65752661</v>
      </c>
      <c r="G21" s="159">
        <f t="shared" si="4"/>
        <v>121296239.95812659</v>
      </c>
      <c r="H21" s="30"/>
    </row>
    <row r="22" spans="1:14" x14ac:dyDescent="0.25">
      <c r="A22" s="8" t="s">
        <v>28</v>
      </c>
      <c r="B22" s="8"/>
      <c r="C22" s="123">
        <f>+C21*'V. ENTRADA'!C20</f>
        <v>21595488.056074768</v>
      </c>
      <c r="D22" s="123">
        <f>+D21*'V. ENTRADA'!D20</f>
        <v>25067462.067531899</v>
      </c>
      <c r="E22" s="123">
        <f>+E21*'V. ENTRADA'!E20</f>
        <v>29715090.529679619</v>
      </c>
      <c r="F22" s="123">
        <f>+F21*'V. ENTRADA'!F20</f>
        <v>34678562.376983784</v>
      </c>
      <c r="G22" s="123">
        <f>+G21*'V. ENTRADA'!G20</f>
        <v>40027759.186181776</v>
      </c>
      <c r="H22" s="30"/>
    </row>
    <row r="23" spans="1:14" x14ac:dyDescent="0.25">
      <c r="A23" s="157" t="s">
        <v>47</v>
      </c>
      <c r="B23" s="157"/>
      <c r="C23" s="159">
        <f>+C21-C22</f>
        <v>43845384.841121495</v>
      </c>
      <c r="D23" s="159">
        <f t="shared" ref="D23:G23" si="5">+D21-D22</f>
        <v>50894544.197716281</v>
      </c>
      <c r="E23" s="159">
        <f t="shared" si="5"/>
        <v>60330638.348137401</v>
      </c>
      <c r="F23" s="159">
        <f t="shared" si="5"/>
        <v>70407990.280542821</v>
      </c>
      <c r="G23" s="159">
        <f t="shared" si="5"/>
        <v>81268480.771944821</v>
      </c>
      <c r="H23" s="42"/>
      <c r="I23" s="42"/>
      <c r="J23" s="42"/>
      <c r="K23" s="42"/>
      <c r="L23" s="42"/>
      <c r="M23" s="42"/>
      <c r="N23" s="42"/>
    </row>
    <row r="25" spans="1:14" x14ac:dyDescent="0.25">
      <c r="J25" s="130">
        <f>C6+C7</f>
        <v>93725600</v>
      </c>
    </row>
    <row r="26" spans="1:14" x14ac:dyDescent="0.25">
      <c r="C26" s="30"/>
      <c r="D26" s="130">
        <f>C23+D23</f>
        <v>94739929.038837776</v>
      </c>
      <c r="E26" s="130">
        <f>D26+E23</f>
        <v>155070567.38697517</v>
      </c>
      <c r="F26" s="130">
        <f t="shared" ref="F26:G26" si="6">E26+F23</f>
        <v>225478557.66751799</v>
      </c>
      <c r="G26" s="130">
        <f t="shared" si="6"/>
        <v>306747038.43946278</v>
      </c>
    </row>
    <row r="29" spans="1:14" x14ac:dyDescent="0.25">
      <c r="J29" s="29">
        <f>J25/C5</f>
        <v>0.30136848874598071</v>
      </c>
      <c r="K29" s="29" t="s">
        <v>180</v>
      </c>
    </row>
  </sheetData>
  <scenarios current="0" sqref="C21:G21">
    <scenario name="conservador" count="4" user="Rodrigo  Ramos Ramos" comment="Creado por Rodrigo  Ramos Ramos el 13/02/2017">
      <inputCells r="B29" val="0,2" numFmtId="9"/>
      <inputCells r="B34" val="0,035" numFmtId="9"/>
      <inputCells r="B38" val="0,1" numFmtId="9"/>
      <inputCells r="B40" val="0,1" numFmtId="9"/>
    </scenario>
  </scenario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91" zoomScalePageLayoutView="91" workbookViewId="0">
      <selection activeCell="G24" sqref="G24"/>
    </sheetView>
  </sheetViews>
  <sheetFormatPr baseColWidth="10" defaultColWidth="10.875" defaultRowHeight="15.75" x14ac:dyDescent="0.25"/>
  <cols>
    <col min="1" max="1" width="28.375" style="29" customWidth="1"/>
    <col min="2" max="2" width="18.125" style="29" customWidth="1"/>
    <col min="3" max="3" width="18.5" style="29" customWidth="1"/>
    <col min="4" max="4" width="19.125" style="29" customWidth="1"/>
    <col min="5" max="5" width="17.125" style="29" customWidth="1"/>
    <col min="6" max="6" width="16.375" style="29" customWidth="1"/>
    <col min="7" max="7" width="17" style="29" customWidth="1"/>
    <col min="8" max="9" width="15.125" style="29" bestFit="1" customWidth="1"/>
    <col min="10" max="16384" width="10.875" style="29"/>
  </cols>
  <sheetData>
    <row r="1" spans="1:9" ht="18.75" x14ac:dyDescent="0.3">
      <c r="A1" s="177" t="s">
        <v>117</v>
      </c>
    </row>
    <row r="2" spans="1:9" ht="18.75" x14ac:dyDescent="0.3">
      <c r="A2" s="177" t="s">
        <v>116</v>
      </c>
    </row>
    <row r="4" spans="1:9" x14ac:dyDescent="0.25">
      <c r="A4" s="8"/>
      <c r="B4" s="96">
        <f>+DEPRECIACIONES!B2</f>
        <v>2017</v>
      </c>
      <c r="C4" s="96">
        <f>+DEPRECIACIONES!C2</f>
        <v>2018</v>
      </c>
      <c r="D4" s="96">
        <f>+DEPRECIACIONES!D2</f>
        <v>2019</v>
      </c>
      <c r="E4" s="96">
        <f>+DEPRECIACIONES!E2</f>
        <v>2020</v>
      </c>
      <c r="F4" s="96">
        <f>+DEPRECIACIONES!F2</f>
        <v>2021</v>
      </c>
      <c r="G4" s="96">
        <f>+DEPRECIACIONES!G2</f>
        <v>2022</v>
      </c>
    </row>
    <row r="5" spans="1:9" x14ac:dyDescent="0.25">
      <c r="A5" s="37" t="s">
        <v>118</v>
      </c>
      <c r="B5" s="125"/>
      <c r="C5" s="125"/>
      <c r="D5" s="125"/>
      <c r="E5" s="125"/>
      <c r="F5" s="125"/>
      <c r="G5" s="125"/>
    </row>
    <row r="6" spans="1:9" x14ac:dyDescent="0.25">
      <c r="A6" s="122" t="s">
        <v>234</v>
      </c>
      <c r="B6" s="122"/>
      <c r="C6" s="122">
        <f>+'ESTADO RESULT'!C5-'ESTADO DE SITUACION (BALANCE)'!C7</f>
        <v>285438356.16438353</v>
      </c>
      <c r="D6" s="122">
        <f>+'ESTADO RESULT'!D5-'ESTADO DE SITUACION (BALANCE)'!D7</f>
        <v>301645546.02739727</v>
      </c>
      <c r="E6" s="122">
        <f>+'ESTADO RESULT'!E5-'ESTADO DE SITUACION (BALANCE)'!E7</f>
        <v>322812013.9921397</v>
      </c>
      <c r="F6" s="122">
        <f>+'ESTADO RESULT'!F5-'ESTADO DE SITUACION (BALANCE)'!F7</f>
        <v>344798740.26514429</v>
      </c>
      <c r="G6" s="122">
        <f>+'ESTADO RESULT'!G5-'ESTADO DE SITUACION (BALANCE)'!G7</f>
        <v>368282982.46460313</v>
      </c>
      <c r="H6" s="30"/>
      <c r="I6" s="38"/>
    </row>
    <row r="7" spans="1:9" x14ac:dyDescent="0.25">
      <c r="A7" s="8" t="s">
        <v>119</v>
      </c>
      <c r="B7" s="122"/>
      <c r="C7" s="122"/>
      <c r="D7" s="122">
        <f>+'ESTADO DE SITUACION (BALANCE)'!C7</f>
        <v>25561643.83561644</v>
      </c>
      <c r="E7" s="122">
        <f>+'ESTADO DE SITUACION (BALANCE)'!D7</f>
        <v>27013033.97260274</v>
      </c>
      <c r="F7" s="122">
        <f>+'ESTADO DE SITUACION (BALANCE)'!E7</f>
        <v>28908538.56646027</v>
      </c>
      <c r="G7" s="122">
        <f>+'ESTADO DE SITUACION (BALANCE)'!F7</f>
        <v>30877499.128221877</v>
      </c>
      <c r="I7" s="38"/>
    </row>
    <row r="8" spans="1:9" x14ac:dyDescent="0.25">
      <c r="A8" s="8" t="s">
        <v>124</v>
      </c>
      <c r="B8" s="122">
        <f>+PRESUPUESTOS!H54</f>
        <v>54102803.738317728</v>
      </c>
      <c r="C8" s="122"/>
      <c r="D8" s="122"/>
      <c r="E8" s="122"/>
      <c r="F8" s="122">
        <f>+PRESUPUESTOS!L54</f>
        <v>0</v>
      </c>
      <c r="G8" s="122"/>
      <c r="I8" s="38"/>
    </row>
    <row r="9" spans="1:9" x14ac:dyDescent="0.25">
      <c r="A9" s="8" t="s">
        <v>193</v>
      </c>
      <c r="B9" s="122">
        <f>+'ESTADO DE SITUACION (BALANCE)'!B36</f>
        <v>772897196.26168227</v>
      </c>
      <c r="C9" s="122"/>
      <c r="D9" s="122"/>
      <c r="E9" s="122"/>
      <c r="F9" s="122">
        <f>+PRESUPUESTOS!L53</f>
        <v>0</v>
      </c>
      <c r="G9" s="122"/>
      <c r="I9" s="30"/>
    </row>
    <row r="10" spans="1:9" hidden="1" x14ac:dyDescent="0.25">
      <c r="A10" s="8"/>
      <c r="B10" s="122"/>
      <c r="C10" s="122"/>
      <c r="D10" s="122"/>
      <c r="E10" s="122"/>
      <c r="F10" s="122"/>
      <c r="G10" s="122"/>
      <c r="I10" s="62"/>
    </row>
    <row r="11" spans="1:9" hidden="1" x14ac:dyDescent="0.25">
      <c r="A11" s="8"/>
      <c r="B11" s="122"/>
      <c r="C11" s="122"/>
      <c r="D11" s="122"/>
      <c r="E11" s="122"/>
      <c r="F11" s="122"/>
      <c r="G11" s="122"/>
    </row>
    <row r="12" spans="1:9" x14ac:dyDescent="0.25">
      <c r="A12" s="157" t="s">
        <v>128</v>
      </c>
      <c r="B12" s="158">
        <f>+SUM(B6:B11)</f>
        <v>827000000</v>
      </c>
      <c r="C12" s="158">
        <f t="shared" ref="C12:G12" si="0">+SUM(C6:C11)</f>
        <v>285438356.16438353</v>
      </c>
      <c r="D12" s="158">
        <f t="shared" si="0"/>
        <v>327207189.86301374</v>
      </c>
      <c r="E12" s="158">
        <f t="shared" si="0"/>
        <v>349825047.96474242</v>
      </c>
      <c r="F12" s="158">
        <f t="shared" si="0"/>
        <v>373707278.83160454</v>
      </c>
      <c r="G12" s="158">
        <f t="shared" si="0"/>
        <v>399160481.592825</v>
      </c>
    </row>
    <row r="13" spans="1:9" hidden="1" x14ac:dyDescent="0.25">
      <c r="A13" s="8"/>
      <c r="B13" s="122"/>
      <c r="C13" s="122"/>
      <c r="D13" s="122"/>
      <c r="E13" s="122"/>
      <c r="F13" s="122"/>
      <c r="G13" s="122"/>
    </row>
    <row r="14" spans="1:9" hidden="1" x14ac:dyDescent="0.25">
      <c r="A14" s="8"/>
      <c r="B14" s="122"/>
      <c r="C14" s="122"/>
      <c r="D14" s="122"/>
      <c r="E14" s="122"/>
      <c r="F14" s="122"/>
      <c r="G14" s="122"/>
    </row>
    <row r="15" spans="1:9" x14ac:dyDescent="0.25">
      <c r="A15" s="37" t="s">
        <v>120</v>
      </c>
      <c r="B15" s="122"/>
      <c r="C15" s="122"/>
      <c r="D15" s="122"/>
      <c r="E15" s="122"/>
      <c r="F15" s="122"/>
      <c r="G15" s="122"/>
    </row>
    <row r="16" spans="1:9" hidden="1" x14ac:dyDescent="0.25">
      <c r="A16" s="8" t="s">
        <v>121</v>
      </c>
      <c r="B16" s="122"/>
      <c r="C16" s="122">
        <f>+PRESUPUESTOS!I16-'ESTADO DE SITUACION (BALANCE)'!C22</f>
        <v>0</v>
      </c>
      <c r="D16" s="122">
        <f>+PRESUPUESTOS!J16-'ESTADO DE SITUACION (BALANCE)'!D22</f>
        <v>0</v>
      </c>
      <c r="E16" s="122">
        <f>+PRESUPUESTOS!K16-'ESTADO DE SITUACION (BALANCE)'!E22</f>
        <v>0</v>
      </c>
      <c r="F16" s="122">
        <f>+PRESUPUESTOS!L16-'ESTADO DE SITUACION (BALANCE)'!F22</f>
        <v>0</v>
      </c>
      <c r="G16" s="122">
        <f>+PRESUPUESTOS!M16-'ESTADO DE SITUACION (BALANCE)'!G22</f>
        <v>0</v>
      </c>
      <c r="H16" s="30"/>
      <c r="I16" s="30"/>
    </row>
    <row r="17" spans="1:9" hidden="1" x14ac:dyDescent="0.25">
      <c r="A17" s="8" t="s">
        <v>122</v>
      </c>
      <c r="B17" s="122"/>
      <c r="C17" s="122">
        <v>0</v>
      </c>
      <c r="D17" s="122">
        <f>+'ESTADO DE SITUACION (BALANCE)'!C22</f>
        <v>0</v>
      </c>
      <c r="E17" s="122">
        <f>+'ESTADO DE SITUACION (BALANCE)'!D22</f>
        <v>0</v>
      </c>
      <c r="F17" s="122">
        <f>+'ESTADO DE SITUACION (BALANCE)'!E22</f>
        <v>0</v>
      </c>
      <c r="G17" s="122">
        <f>+'ESTADO DE SITUACION (BALANCE)'!F22</f>
        <v>0</v>
      </c>
      <c r="H17" s="30"/>
      <c r="I17" s="30"/>
    </row>
    <row r="18" spans="1:9" x14ac:dyDescent="0.25">
      <c r="A18" s="8" t="s">
        <v>123</v>
      </c>
      <c r="B18" s="122"/>
      <c r="C18" s="122">
        <f>+'ESTADO RESULT'!C11</f>
        <v>8400000</v>
      </c>
      <c r="D18" s="122">
        <f>+'ESTADO RESULT'!D11</f>
        <v>8652000</v>
      </c>
      <c r="E18" s="122">
        <f>+'ESTADO RESULT'!E11</f>
        <v>8989428</v>
      </c>
      <c r="F18" s="122">
        <f>+'ESTADO RESULT'!F11</f>
        <v>9322036.8359999992</v>
      </c>
      <c r="G18" s="122">
        <f>+'ESTADO RESULT'!G11</f>
        <v>9666952.1989319976</v>
      </c>
      <c r="H18" s="30"/>
    </row>
    <row r="19" spans="1:9" x14ac:dyDescent="0.25">
      <c r="A19" s="8" t="s">
        <v>134</v>
      </c>
      <c r="B19" s="122"/>
      <c r="C19" s="122">
        <f>+'ESTADO RESULT'!C14</f>
        <v>3600000</v>
      </c>
      <c r="D19" s="122">
        <f>+'ESTADO RESULT'!D14</f>
        <v>3708000</v>
      </c>
      <c r="E19" s="122">
        <f>+'ESTADO RESULT'!E14</f>
        <v>3852611.9999999995</v>
      </c>
      <c r="F19" s="122">
        <f>+'ESTADO RESULT'!F14</f>
        <v>3995158.6439999994</v>
      </c>
      <c r="G19" s="122">
        <f>+'ESTADO RESULT'!G14</f>
        <v>4142979.5138279991</v>
      </c>
      <c r="H19" s="30"/>
    </row>
    <row r="20" spans="1:9" x14ac:dyDescent="0.25">
      <c r="A20" s="8" t="s">
        <v>135</v>
      </c>
      <c r="B20" s="122"/>
      <c r="C20" s="122">
        <f>+'ESTADO RESULT'!C10-'ESTADO DE SITUACION (BALANCE)'!C24</f>
        <v>128625600</v>
      </c>
      <c r="D20" s="122">
        <f>+'ESTADO RESULT'!D10-'ESTADO DE SITUACION (BALANCE)'!D24</f>
        <v>135571382.40000001</v>
      </c>
      <c r="E20" s="122">
        <f>+'ESTADO RESULT'!E10-'ESTADO DE SITUACION (BALANCE)'!E24</f>
        <v>142621094.28480002</v>
      </c>
      <c r="F20" s="122">
        <f>+'ESTADO RESULT'!F10-'ESTADO DE SITUACION (BALANCE)'!F24</f>
        <v>150037391.18760961</v>
      </c>
      <c r="G20" s="122">
        <f>+'ESTADO RESULT'!G10-'ESTADO DE SITUACION (BALANCE)'!G24</f>
        <v>157839335.52936536</v>
      </c>
      <c r="H20" s="30"/>
      <c r="I20" s="30"/>
    </row>
    <row r="21" spans="1:9" hidden="1" x14ac:dyDescent="0.25">
      <c r="A21" s="8" t="s">
        <v>10</v>
      </c>
      <c r="B21" s="122"/>
      <c r="C21" s="122">
        <f>+'ESTADO RESULT'!C15</f>
        <v>0</v>
      </c>
      <c r="D21" s="122">
        <f>+'ESTADO RESULT'!D15</f>
        <v>0</v>
      </c>
      <c r="E21" s="122">
        <f>+'ESTADO RESULT'!E15</f>
        <v>0</v>
      </c>
      <c r="F21" s="122">
        <f>+'ESTADO RESULT'!F15</f>
        <v>0</v>
      </c>
      <c r="G21" s="122">
        <f>+'ESTADO RESULT'!G15</f>
        <v>0</v>
      </c>
      <c r="H21" s="30"/>
    </row>
    <row r="22" spans="1:9" x14ac:dyDescent="0.25">
      <c r="A22" s="8" t="s">
        <v>15</v>
      </c>
      <c r="B22" s="122"/>
      <c r="C22" s="122">
        <f>+'ESTADO RESULT'!C12</f>
        <v>960000</v>
      </c>
      <c r="D22" s="122">
        <f>+'ESTADO RESULT'!D12</f>
        <v>988800</v>
      </c>
      <c r="E22" s="122">
        <f>+'ESTADO RESULT'!E12</f>
        <v>1027363.2</v>
      </c>
      <c r="F22" s="122">
        <f>+'ESTADO RESULT'!F12</f>
        <v>1065375.6383999998</v>
      </c>
      <c r="G22" s="122">
        <f>+'ESTADO RESULT'!G12</f>
        <v>1104794.5370207997</v>
      </c>
      <c r="H22" s="30"/>
    </row>
    <row r="23" spans="1:9" hidden="1" x14ac:dyDescent="0.25">
      <c r="A23" s="8" t="s">
        <v>136</v>
      </c>
      <c r="B23" s="122"/>
      <c r="C23" s="122">
        <v>0</v>
      </c>
      <c r="D23" s="122">
        <f>+'ESTADO DE SITUACION (BALANCE)'!C24</f>
        <v>0</v>
      </c>
      <c r="E23" s="122">
        <f>+'ESTADO DE SITUACION (BALANCE)'!D24</f>
        <v>0</v>
      </c>
      <c r="F23" s="122">
        <f>+'ESTADO DE SITUACION (BALANCE)'!E24</f>
        <v>0</v>
      </c>
      <c r="G23" s="122">
        <f>+'ESTADO DE SITUACION (BALANCE)'!F24</f>
        <v>0</v>
      </c>
      <c r="H23" s="30"/>
      <c r="I23" s="30"/>
    </row>
    <row r="24" spans="1:9" x14ac:dyDescent="0.25">
      <c r="A24" s="8" t="s">
        <v>137</v>
      </c>
      <c r="B24" s="122"/>
      <c r="C24" s="122">
        <f>+'ESTADO RESULT'!C13</f>
        <v>600000</v>
      </c>
      <c r="D24" s="122">
        <f>+'ESTADO RESULT'!D13</f>
        <v>618000</v>
      </c>
      <c r="E24" s="122">
        <f>+'ESTADO RESULT'!E13</f>
        <v>642102</v>
      </c>
      <c r="F24" s="122">
        <f>+'ESTADO RESULT'!F13</f>
        <v>665859.77399999998</v>
      </c>
      <c r="G24" s="122">
        <f>+'ESTADO RESULT'!G13</f>
        <v>690496.58563799993</v>
      </c>
      <c r="H24" s="30"/>
    </row>
    <row r="25" spans="1:9" x14ac:dyDescent="0.25">
      <c r="A25" s="8" t="s">
        <v>138</v>
      </c>
      <c r="B25" s="122"/>
      <c r="C25" s="122">
        <f>+'ESTADO RESULT'!C16</f>
        <v>1440000</v>
      </c>
      <c r="D25" s="122">
        <f>+'ESTADO RESULT'!D16</f>
        <v>1483200</v>
      </c>
      <c r="E25" s="122">
        <f>+'ESTADO RESULT'!E16</f>
        <v>1541044.7999999998</v>
      </c>
      <c r="F25" s="122">
        <f>+'ESTADO RESULT'!F16</f>
        <v>1598063.4575999996</v>
      </c>
      <c r="G25" s="122">
        <f>+'ESTADO RESULT'!G16</f>
        <v>1657191.8055311996</v>
      </c>
      <c r="H25" s="30"/>
    </row>
    <row r="26" spans="1:9" hidden="1" x14ac:dyDescent="0.25">
      <c r="A26" s="8" t="s">
        <v>139</v>
      </c>
      <c r="B26" s="122"/>
      <c r="C26" s="122">
        <f>+'ESTADO RESULT'!C17</f>
        <v>0</v>
      </c>
      <c r="D26" s="122">
        <f>+'ESTADO RESULT'!D17</f>
        <v>0</v>
      </c>
      <c r="E26" s="122">
        <f>+'ESTADO RESULT'!E17</f>
        <v>0</v>
      </c>
      <c r="F26" s="122">
        <f>+'ESTADO RESULT'!F17</f>
        <v>0</v>
      </c>
      <c r="G26" s="122">
        <f>+'ESTADO RESULT'!G17</f>
        <v>0</v>
      </c>
      <c r="H26" s="30"/>
    </row>
    <row r="27" spans="1:9" x14ac:dyDescent="0.25">
      <c r="A27" s="8" t="s">
        <v>140</v>
      </c>
      <c r="B27" s="122"/>
      <c r="C27" s="122"/>
      <c r="D27" s="122">
        <f>+'ESTADO DE SITUACION (BALANCE)'!C23</f>
        <v>21595488.056074768</v>
      </c>
      <c r="E27" s="122">
        <f>+'ESTADO DE SITUACION (BALANCE)'!D23</f>
        <v>25067462.067531899</v>
      </c>
      <c r="F27" s="122">
        <f>+'ESTADO DE SITUACION (BALANCE)'!E23</f>
        <v>29715090.529679619</v>
      </c>
      <c r="G27" s="122">
        <f>+'ESTADO DE SITUACION (BALANCE)'!F23</f>
        <v>34678562.376983784</v>
      </c>
      <c r="H27" s="30"/>
    </row>
    <row r="28" spans="1:9" x14ac:dyDescent="0.25">
      <c r="A28" s="8" t="s">
        <v>18</v>
      </c>
      <c r="B28" s="122"/>
      <c r="C28" s="122">
        <f>+'ESTADO RESULT'!C20</f>
        <v>6697927.1028037351</v>
      </c>
      <c r="D28" s="122">
        <f>+'ESTADO RESULT'!D20</f>
        <v>4476928.9347518068</v>
      </c>
      <c r="E28" s="122">
        <f>+'ESTADO RESULT'!E20</f>
        <v>3810887.3511828925</v>
      </c>
      <c r="F28" s="122">
        <f>+'ESTADO RESULT'!F20</f>
        <v>2619893.9671003753</v>
      </c>
      <c r="G28" s="122">
        <f>+'ESTADO RESULT'!G20</f>
        <v>1375063.5228578846</v>
      </c>
      <c r="H28" s="30"/>
    </row>
    <row r="29" spans="1:9" x14ac:dyDescent="0.25">
      <c r="A29" s="8" t="s">
        <v>125</v>
      </c>
      <c r="B29" s="122"/>
      <c r="C29" s="122">
        <f>+'ESTADO DE SITUACION (BALANCE)'!B29-'ESTADO DE SITUACION (BALANCE)'!C29</f>
        <v>8452260.4242143631</v>
      </c>
      <c r="D29" s="122">
        <f>+'ESTADO DE SITUACION (BALANCE)'!C29-'ESTADO DE SITUACION (BALANCE)'!D29</f>
        <v>9864349.3806998655</v>
      </c>
      <c r="E29" s="122">
        <f>+'ESTADO DE SITUACION (BALANCE)'!D29-'ESTADO DE SITUACION (BALANCE)'!E29</f>
        <v>10743986.488049489</v>
      </c>
      <c r="F29" s="122">
        <f>+'ESTADO DE SITUACION (BALANCE)'!E29-'ESTADO DE SITUACION (BALANCE)'!F29</f>
        <v>11898688.500555757</v>
      </c>
      <c r="G29" s="122">
        <f>+'ESTADO DE SITUACION (BALANCE)'!F29-'ESTADO DE SITUACION (BALANCE)'!G29</f>
        <v>13143518.944798253</v>
      </c>
      <c r="H29" s="30"/>
    </row>
    <row r="30" spans="1:9" hidden="1" x14ac:dyDescent="0.25">
      <c r="A30" s="8" t="s">
        <v>126</v>
      </c>
      <c r="B30" s="122"/>
      <c r="C30" s="122"/>
      <c r="D30" s="122"/>
      <c r="E30" s="122"/>
      <c r="F30" s="122"/>
      <c r="G30" s="122"/>
    </row>
    <row r="31" spans="1:9" x14ac:dyDescent="0.25">
      <c r="A31" s="8" t="s">
        <v>112</v>
      </c>
      <c r="B31" s="122">
        <f>+PRESUPUESTOS!B46</f>
        <v>600000000</v>
      </c>
      <c r="C31" s="122"/>
      <c r="D31" s="122"/>
      <c r="E31" s="122"/>
      <c r="F31" s="122"/>
      <c r="G31" s="122"/>
    </row>
    <row r="32" spans="1:9" x14ac:dyDescent="0.25">
      <c r="A32" s="8" t="s">
        <v>148</v>
      </c>
      <c r="B32" s="122">
        <f>+PRESUPUESTOS!B44</f>
        <v>102000000</v>
      </c>
      <c r="C32" s="122"/>
      <c r="D32" s="122"/>
      <c r="E32" s="122"/>
      <c r="F32" s="122">
        <f>+PRESUPUESTOS!C47</f>
        <v>0</v>
      </c>
      <c r="G32" s="122"/>
    </row>
    <row r="33" spans="1:8" x14ac:dyDescent="0.25">
      <c r="A33" s="8" t="s">
        <v>3</v>
      </c>
      <c r="B33" s="122">
        <f>+PRESUPUESTOS!B45</f>
        <v>125000000</v>
      </c>
      <c r="C33" s="122"/>
      <c r="D33" s="122"/>
      <c r="E33" s="122"/>
      <c r="F33" s="122"/>
      <c r="G33" s="122"/>
    </row>
    <row r="34" spans="1:8" x14ac:dyDescent="0.25">
      <c r="A34" s="157" t="s">
        <v>129</v>
      </c>
      <c r="B34" s="158">
        <f t="shared" ref="B34:G34" si="1">+SUM(B16:B33)</f>
        <v>827000000</v>
      </c>
      <c r="C34" s="158">
        <f t="shared" si="1"/>
        <v>158775787.5270181</v>
      </c>
      <c r="D34" s="158">
        <f t="shared" si="1"/>
        <v>186958148.77152646</v>
      </c>
      <c r="E34" s="158">
        <f t="shared" si="1"/>
        <v>198295980.19156429</v>
      </c>
      <c r="F34" s="158">
        <f t="shared" si="1"/>
        <v>210917558.53494534</v>
      </c>
      <c r="G34" s="158">
        <f t="shared" si="1"/>
        <v>224298895.01495528</v>
      </c>
      <c r="H34" s="35"/>
    </row>
    <row r="35" spans="1:8" x14ac:dyDescent="0.25">
      <c r="A35" s="8" t="s">
        <v>130</v>
      </c>
      <c r="B35" s="122">
        <f t="shared" ref="B35:G35" si="2">+B12-B34</f>
        <v>0</v>
      </c>
      <c r="C35" s="122">
        <f t="shared" si="2"/>
        <v>126662568.63736543</v>
      </c>
      <c r="D35" s="122">
        <f t="shared" si="2"/>
        <v>140249041.09148729</v>
      </c>
      <c r="E35" s="122">
        <f t="shared" si="2"/>
        <v>151529067.77317813</v>
      </c>
      <c r="F35" s="122">
        <f t="shared" si="2"/>
        <v>162789720.2966592</v>
      </c>
      <c r="G35" s="122">
        <f t="shared" si="2"/>
        <v>174861586.57786971</v>
      </c>
    </row>
    <row r="36" spans="1:8" x14ac:dyDescent="0.25">
      <c r="A36" s="8" t="s">
        <v>131</v>
      </c>
      <c r="B36" s="122">
        <v>0</v>
      </c>
      <c r="C36" s="122">
        <f>+B37</f>
        <v>0</v>
      </c>
      <c r="D36" s="122">
        <f>+C37</f>
        <v>126662568.63736543</v>
      </c>
      <c r="E36" s="122">
        <f t="shared" ref="E36:G36" si="3">+D37</f>
        <v>266911609.72885272</v>
      </c>
      <c r="F36" s="122">
        <f t="shared" si="3"/>
        <v>418440677.50203085</v>
      </c>
      <c r="G36" s="122">
        <f t="shared" si="3"/>
        <v>581230397.79869008</v>
      </c>
    </row>
    <row r="37" spans="1:8" x14ac:dyDescent="0.25">
      <c r="A37" s="157" t="s">
        <v>145</v>
      </c>
      <c r="B37" s="159">
        <f>+B35+B36</f>
        <v>0</v>
      </c>
      <c r="C37" s="159">
        <f>+C35+C36</f>
        <v>126662568.63736543</v>
      </c>
      <c r="D37" s="159">
        <f t="shared" ref="D37:G37" si="4">+D35+D36</f>
        <v>266911609.72885272</v>
      </c>
      <c r="E37" s="159">
        <f t="shared" si="4"/>
        <v>418440677.50203085</v>
      </c>
      <c r="F37" s="159">
        <f t="shared" si="4"/>
        <v>581230397.79869008</v>
      </c>
      <c r="G37" s="159">
        <f t="shared" si="4"/>
        <v>756091984.37655973</v>
      </c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="80" zoomScaleNormal="86" zoomScalePageLayoutView="86" workbookViewId="0">
      <selection activeCell="H12" sqref="H12"/>
    </sheetView>
  </sheetViews>
  <sheetFormatPr baseColWidth="10" defaultColWidth="10.875" defaultRowHeight="15.75" x14ac:dyDescent="0.25"/>
  <cols>
    <col min="1" max="1" width="39.5" style="29" customWidth="1"/>
    <col min="2" max="6" width="17.625" style="29" bestFit="1" customWidth="1"/>
    <col min="7" max="7" width="18.625" style="29" bestFit="1" customWidth="1"/>
    <col min="8" max="8" width="15.125" style="29" bestFit="1" customWidth="1"/>
    <col min="9" max="16384" width="10.875" style="29"/>
  </cols>
  <sheetData>
    <row r="1" spans="1:8" ht="18.75" x14ac:dyDescent="0.3">
      <c r="A1" s="177" t="s">
        <v>156</v>
      </c>
    </row>
    <row r="2" spans="1:8" ht="18.75" x14ac:dyDescent="0.3">
      <c r="A2" s="177" t="s">
        <v>116</v>
      </c>
    </row>
    <row r="4" spans="1:8" x14ac:dyDescent="0.25">
      <c r="A4" s="114"/>
      <c r="B4" s="96">
        <f>'V. ENTRADA'!B1</f>
        <v>2017</v>
      </c>
      <c r="C4" s="96">
        <f>'V. ENTRADA'!C1</f>
        <v>2018</v>
      </c>
      <c r="D4" s="96">
        <f>'V. ENTRADA'!D1</f>
        <v>2019</v>
      </c>
      <c r="E4" s="96">
        <f>'V. ENTRADA'!E1</f>
        <v>2020</v>
      </c>
      <c r="F4" s="96">
        <f>'V. ENTRADA'!F1</f>
        <v>2021</v>
      </c>
      <c r="G4" s="96">
        <f>'V. ENTRADA'!G1</f>
        <v>2022</v>
      </c>
    </row>
    <row r="5" spans="1:8" x14ac:dyDescent="0.25">
      <c r="A5" s="8" t="s">
        <v>61</v>
      </c>
      <c r="B5" s="123">
        <f>+'FLUJO TESORERÍA'!B37</f>
        <v>0</v>
      </c>
      <c r="C5" s="123">
        <f>+'FLUJO TESORERÍA'!C37</f>
        <v>126662568.63736543</v>
      </c>
      <c r="D5" s="123">
        <f>+'FLUJO TESORERÍA'!D37</f>
        <v>266911609.72885272</v>
      </c>
      <c r="E5" s="123">
        <f>+'FLUJO TESORERÍA'!E37</f>
        <v>418440677.50203085</v>
      </c>
      <c r="F5" s="123">
        <f>+'FLUJO TESORERÍA'!F37</f>
        <v>581230397.79869008</v>
      </c>
      <c r="G5" s="123">
        <f>+'FLUJO TESORERÍA'!G37</f>
        <v>756091984.37655973</v>
      </c>
    </row>
    <row r="6" spans="1:8" x14ac:dyDescent="0.25">
      <c r="A6" s="8" t="s">
        <v>62</v>
      </c>
      <c r="B6" s="123"/>
      <c r="C6" s="123"/>
      <c r="D6" s="123"/>
      <c r="E6" s="123"/>
      <c r="F6" s="123"/>
      <c r="G6" s="123"/>
    </row>
    <row r="7" spans="1:8" x14ac:dyDescent="0.25">
      <c r="A7" s="8" t="s">
        <v>127</v>
      </c>
      <c r="B7" s="123"/>
      <c r="C7" s="123">
        <f>+'ESTADO RESULT'!C5/365*'V. ENTRADA'!C11</f>
        <v>25561643.83561644</v>
      </c>
      <c r="D7" s="123">
        <f>+'ESTADO RESULT'!D5/365*'V. ENTRADA'!D11</f>
        <v>27013033.97260274</v>
      </c>
      <c r="E7" s="123">
        <f>+'ESTADO RESULT'!E5/365*'V. ENTRADA'!E11</f>
        <v>28908538.56646027</v>
      </c>
      <c r="F7" s="123">
        <f>+'ESTADO RESULT'!F5/365*'V. ENTRADA'!F11</f>
        <v>30877499.128221877</v>
      </c>
      <c r="G7" s="123">
        <f>+'ESTADO RESULT'!G5/365*'V. ENTRADA'!G11</f>
        <v>32980565.593845058</v>
      </c>
      <c r="H7" s="30"/>
    </row>
    <row r="8" spans="1:8" x14ac:dyDescent="0.25">
      <c r="A8" s="8" t="s">
        <v>63</v>
      </c>
      <c r="B8" s="123">
        <v>0</v>
      </c>
      <c r="C8" s="123">
        <f>+'ESTADO RESULT'!C6/365*'V. ENTRADA'!C13</f>
        <v>0</v>
      </c>
      <c r="D8" s="123">
        <f>+'ESTADO RESULT'!D6/365*'V. ENTRADA'!D13</f>
        <v>0</v>
      </c>
      <c r="E8" s="123">
        <f>+'ESTADO RESULT'!E6/365*'V. ENTRADA'!E13</f>
        <v>0</v>
      </c>
      <c r="F8" s="123">
        <f>+'ESTADO RESULT'!F6/365*'V. ENTRADA'!F13</f>
        <v>0</v>
      </c>
      <c r="G8" s="123">
        <f>+'ESTADO RESULT'!G6/365*'V. ENTRADA'!G13</f>
        <v>0</v>
      </c>
    </row>
    <row r="9" spans="1:8" x14ac:dyDescent="0.25">
      <c r="A9" s="8"/>
      <c r="B9" s="122"/>
      <c r="C9" s="122"/>
      <c r="D9" s="122"/>
      <c r="E9" s="122"/>
      <c r="F9" s="122"/>
      <c r="G9" s="122"/>
    </row>
    <row r="10" spans="1:8" x14ac:dyDescent="0.25">
      <c r="A10" s="157" t="s">
        <v>64</v>
      </c>
      <c r="B10" s="158">
        <f>+SUM(B5:B9)</f>
        <v>0</v>
      </c>
      <c r="C10" s="158">
        <f t="shared" ref="C10:G10" si="0">+SUM(C5:C9)</f>
        <v>152224212.47298187</v>
      </c>
      <c r="D10" s="158">
        <f t="shared" si="0"/>
        <v>293924643.70145547</v>
      </c>
      <c r="E10" s="158">
        <f t="shared" si="0"/>
        <v>447349216.0684911</v>
      </c>
      <c r="F10" s="158">
        <f t="shared" si="0"/>
        <v>612107896.92691195</v>
      </c>
      <c r="G10" s="158">
        <f t="shared" si="0"/>
        <v>789072549.97040474</v>
      </c>
    </row>
    <row r="11" spans="1:8" x14ac:dyDescent="0.25">
      <c r="A11" s="8"/>
      <c r="B11" s="122"/>
      <c r="C11" s="122"/>
      <c r="D11" s="122"/>
      <c r="E11" s="122"/>
      <c r="F11" s="122"/>
      <c r="G11" s="122"/>
    </row>
    <row r="12" spans="1:8" x14ac:dyDescent="0.25">
      <c r="A12" s="8" t="s">
        <v>132</v>
      </c>
      <c r="B12" s="123">
        <f>+PRESUPUESTOS!B47</f>
        <v>827000000</v>
      </c>
      <c r="C12" s="123">
        <f>+B12</f>
        <v>827000000</v>
      </c>
      <c r="D12" s="123">
        <f>+C12</f>
        <v>827000000</v>
      </c>
      <c r="E12" s="123">
        <f>+D12</f>
        <v>827000000</v>
      </c>
      <c r="F12" s="123">
        <f>+E12+PRESUPUESTOS!C44</f>
        <v>827000000</v>
      </c>
      <c r="G12" s="123">
        <f>+F12</f>
        <v>827000000</v>
      </c>
    </row>
    <row r="13" spans="1:8" x14ac:dyDescent="0.25">
      <c r="A13" s="8" t="s">
        <v>65</v>
      </c>
      <c r="B13" s="123">
        <v>0</v>
      </c>
      <c r="C13" s="123">
        <f>+('ESTADO RESULT'!C7+'ESTADO RESULT'!C18)*-1</f>
        <v>-30200000</v>
      </c>
      <c r="D13" s="123">
        <f>+C13-('ESTADO RESULT'!D7+'ESTADO RESULT'!D18)</f>
        <v>-60400000</v>
      </c>
      <c r="E13" s="123">
        <f>+D13-('ESTADO RESULT'!E7+'ESTADO RESULT'!E18)</f>
        <v>-90600000</v>
      </c>
      <c r="F13" s="123">
        <f>+E13-('ESTADO RESULT'!F7+'ESTADO RESULT'!F18)</f>
        <v>-120800000</v>
      </c>
      <c r="G13" s="123">
        <f>+F13-('ESTADO RESULT'!G7+'ESTADO RESULT'!G18)</f>
        <v>-151000000</v>
      </c>
    </row>
    <row r="14" spans="1:8" x14ac:dyDescent="0.25">
      <c r="A14" s="8" t="s">
        <v>66</v>
      </c>
      <c r="B14" s="123"/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8" x14ac:dyDescent="0.25">
      <c r="A15" s="8" t="s">
        <v>67</v>
      </c>
      <c r="B15" s="123"/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8" x14ac:dyDescent="0.25">
      <c r="A16" s="157" t="s">
        <v>68</v>
      </c>
      <c r="B16" s="159">
        <f>+SUM(B12:B15)</f>
        <v>827000000</v>
      </c>
      <c r="C16" s="159">
        <f>+SUM(C12:C15)</f>
        <v>796800000</v>
      </c>
      <c r="D16" s="159">
        <f t="shared" ref="D16:G16" si="1">+SUM(D12:D15)</f>
        <v>766600000</v>
      </c>
      <c r="E16" s="159">
        <f t="shared" si="1"/>
        <v>736400000</v>
      </c>
      <c r="F16" s="159">
        <f t="shared" si="1"/>
        <v>706200000</v>
      </c>
      <c r="G16" s="159">
        <f t="shared" si="1"/>
        <v>676000000</v>
      </c>
    </row>
    <row r="17" spans="1:8" x14ac:dyDescent="0.25">
      <c r="A17" s="8"/>
      <c r="B17" s="122"/>
      <c r="C17" s="122"/>
      <c r="D17" s="122"/>
      <c r="E17" s="122"/>
      <c r="F17" s="122"/>
      <c r="G17" s="122"/>
    </row>
    <row r="18" spans="1:8" x14ac:dyDescent="0.25">
      <c r="A18" s="157" t="s">
        <v>133</v>
      </c>
      <c r="B18" s="159">
        <f>+B16+B10</f>
        <v>827000000</v>
      </c>
      <c r="C18" s="159">
        <f t="shared" ref="C18:G18" si="2">+C16+C10</f>
        <v>949024212.47298193</v>
      </c>
      <c r="D18" s="159">
        <f t="shared" si="2"/>
        <v>1060524643.7014555</v>
      </c>
      <c r="E18" s="159">
        <f t="shared" si="2"/>
        <v>1183749216.068491</v>
      </c>
      <c r="F18" s="159">
        <f t="shared" si="2"/>
        <v>1318307896.9269118</v>
      </c>
      <c r="G18" s="159">
        <f t="shared" si="2"/>
        <v>1465072549.9704046</v>
      </c>
    </row>
    <row r="19" spans="1:8" x14ac:dyDescent="0.25">
      <c r="A19" s="8"/>
      <c r="B19" s="122"/>
      <c r="C19" s="122"/>
      <c r="D19" s="122"/>
      <c r="E19" s="122"/>
      <c r="F19" s="122"/>
      <c r="G19" s="122"/>
    </row>
    <row r="20" spans="1:8" x14ac:dyDescent="0.25">
      <c r="A20" s="8" t="s">
        <v>69</v>
      </c>
      <c r="B20" s="122"/>
      <c r="C20" s="122"/>
      <c r="D20" s="122"/>
      <c r="E20" s="122"/>
      <c r="F20" s="122"/>
      <c r="G20" s="122"/>
    </row>
    <row r="21" spans="1:8" x14ac:dyDescent="0.25">
      <c r="A21" s="8" t="s">
        <v>74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</row>
    <row r="22" spans="1:8" x14ac:dyDescent="0.25">
      <c r="A22" s="8" t="s">
        <v>72</v>
      </c>
      <c r="B22" s="123">
        <v>0</v>
      </c>
      <c r="C22" s="123">
        <f>+PRESUPUESTOS!I16/365*'V. ENTRADA'!C15</f>
        <v>0</v>
      </c>
      <c r="D22" s="123">
        <f>+PRESUPUESTOS!J16/365*'V. ENTRADA'!D15</f>
        <v>0</v>
      </c>
      <c r="E22" s="123">
        <f>+PRESUPUESTOS!K16/365*'V. ENTRADA'!E15</f>
        <v>0</v>
      </c>
      <c r="F22" s="123">
        <f>+PRESUPUESTOS!L16/365*'V. ENTRADA'!F15</f>
        <v>0</v>
      </c>
      <c r="G22" s="123">
        <f>+PRESUPUESTOS!M16/365*'V. ENTRADA'!G15</f>
        <v>0</v>
      </c>
    </row>
    <row r="23" spans="1:8" x14ac:dyDescent="0.25">
      <c r="A23" s="8" t="s">
        <v>70</v>
      </c>
      <c r="B23" s="123">
        <v>0</v>
      </c>
      <c r="C23" s="123">
        <f>+'ESTADO RESULT'!C22</f>
        <v>21595488.056074768</v>
      </c>
      <c r="D23" s="123">
        <f>+'ESTADO RESULT'!D22</f>
        <v>25067462.067531899</v>
      </c>
      <c r="E23" s="123">
        <f>+'ESTADO RESULT'!E22</f>
        <v>29715090.529679619</v>
      </c>
      <c r="F23" s="123">
        <f>+'ESTADO RESULT'!F22</f>
        <v>34678562.376983784</v>
      </c>
      <c r="G23" s="123">
        <f>+'ESTADO RESULT'!G22</f>
        <v>40027759.186181776</v>
      </c>
      <c r="H23" s="30"/>
    </row>
    <row r="24" spans="1:8" x14ac:dyDescent="0.25">
      <c r="A24" s="8" t="s">
        <v>71</v>
      </c>
      <c r="B24" s="123">
        <v>0</v>
      </c>
      <c r="C24" s="123">
        <f>+PRESUPUESTOS!G27</f>
        <v>0</v>
      </c>
      <c r="D24" s="123">
        <f>+C24*(1+'V. ENTRADA'!C2)</f>
        <v>0</v>
      </c>
      <c r="E24" s="123">
        <f>+D24*(1+'V. ENTRADA'!D2)</f>
        <v>0</v>
      </c>
      <c r="F24" s="123">
        <f>+E24*(1+'V. ENTRADA'!E2)</f>
        <v>0</v>
      </c>
      <c r="G24" s="123">
        <f>+F24*(1+'V. ENTRADA'!F2)</f>
        <v>0</v>
      </c>
    </row>
    <row r="25" spans="1:8" x14ac:dyDescent="0.25">
      <c r="A25" s="8"/>
      <c r="B25" s="123"/>
      <c r="C25" s="123"/>
      <c r="D25" s="123"/>
      <c r="E25" s="123"/>
      <c r="F25" s="123"/>
      <c r="G25" s="123"/>
    </row>
    <row r="26" spans="1:8" x14ac:dyDescent="0.25">
      <c r="A26" s="157" t="s">
        <v>73</v>
      </c>
      <c r="B26" s="158">
        <f>+SUM(B21:B25)</f>
        <v>0</v>
      </c>
      <c r="C26" s="158">
        <f t="shared" ref="C26:G26" si="3">+SUM(C21:C25)</f>
        <v>21595488.056074768</v>
      </c>
      <c r="D26" s="158">
        <f t="shared" si="3"/>
        <v>25067462.067531899</v>
      </c>
      <c r="E26" s="158">
        <f t="shared" si="3"/>
        <v>29715090.529679619</v>
      </c>
      <c r="F26" s="158">
        <f t="shared" si="3"/>
        <v>34678562.376983784</v>
      </c>
      <c r="G26" s="158">
        <f t="shared" si="3"/>
        <v>40027759.186181776</v>
      </c>
      <c r="H26" s="35"/>
    </row>
    <row r="27" spans="1:8" x14ac:dyDescent="0.25">
      <c r="A27" s="8"/>
      <c r="B27" s="122"/>
      <c r="C27" s="122"/>
      <c r="D27" s="122"/>
      <c r="E27" s="122"/>
      <c r="F27" s="122"/>
      <c r="G27" s="122"/>
    </row>
    <row r="28" spans="1:8" x14ac:dyDescent="0.25">
      <c r="A28" s="8"/>
      <c r="B28" s="122"/>
      <c r="C28" s="122"/>
      <c r="D28" s="122"/>
      <c r="E28" s="122"/>
      <c r="F28" s="122"/>
      <c r="G28" s="122"/>
    </row>
    <row r="29" spans="1:8" x14ac:dyDescent="0.25">
      <c r="A29" s="8" t="s">
        <v>75</v>
      </c>
      <c r="B29" s="122">
        <f>+PRESUPUESTOS!H54</f>
        <v>54102803.738317728</v>
      </c>
      <c r="C29" s="122">
        <f>+'TABLA AMORT'!E8</f>
        <v>45650543.314103365</v>
      </c>
      <c r="D29" s="122">
        <f>+'TABLA AMORT'!E9</f>
        <v>35786193.933403499</v>
      </c>
      <c r="E29" s="122">
        <f>+'TABLA AMORT'!E10</f>
        <v>25042207.445354011</v>
      </c>
      <c r="F29" s="122">
        <f>+'TABLA AMORT'!E11+PRESUPUESTOS!L54</f>
        <v>13143518.944798253</v>
      </c>
      <c r="G29" s="122">
        <f>+'TABLA AMORT'!E24</f>
        <v>0</v>
      </c>
    </row>
    <row r="30" spans="1:8" x14ac:dyDescent="0.25">
      <c r="A30" s="8" t="s">
        <v>72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</row>
    <row r="31" spans="1:8" x14ac:dyDescent="0.25">
      <c r="A31" s="8" t="s">
        <v>76</v>
      </c>
      <c r="B31" s="123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8" x14ac:dyDescent="0.25">
      <c r="A32" s="157" t="s">
        <v>77</v>
      </c>
      <c r="B32" s="158">
        <f>+SUM(B29:B31)</f>
        <v>54102803.738317728</v>
      </c>
      <c r="C32" s="158">
        <f t="shared" ref="C32:G32" si="4">+SUM(C29:C31)</f>
        <v>45650543.314103365</v>
      </c>
      <c r="D32" s="158">
        <f t="shared" si="4"/>
        <v>35786193.933403499</v>
      </c>
      <c r="E32" s="158">
        <f t="shared" si="4"/>
        <v>25042207.445354011</v>
      </c>
      <c r="F32" s="158">
        <f t="shared" si="4"/>
        <v>13143518.944798253</v>
      </c>
      <c r="G32" s="158">
        <f t="shared" si="4"/>
        <v>0</v>
      </c>
    </row>
    <row r="33" spans="1:14" x14ac:dyDescent="0.25">
      <c r="A33" s="8"/>
      <c r="B33" s="122"/>
      <c r="C33" s="122"/>
      <c r="D33" s="122"/>
      <c r="E33" s="122"/>
      <c r="F33" s="122"/>
      <c r="G33" s="122"/>
    </row>
    <row r="34" spans="1:14" x14ac:dyDescent="0.25">
      <c r="A34" s="157" t="s">
        <v>144</v>
      </c>
      <c r="B34" s="158">
        <f t="shared" ref="B34:G34" si="5">+B32+B26</f>
        <v>54102803.738317728</v>
      </c>
      <c r="C34" s="158">
        <f t="shared" si="5"/>
        <v>67246031.370178133</v>
      </c>
      <c r="D34" s="158">
        <f t="shared" si="5"/>
        <v>60853656.000935398</v>
      </c>
      <c r="E34" s="158">
        <f t="shared" si="5"/>
        <v>54757297.975033626</v>
      </c>
      <c r="F34" s="158">
        <f t="shared" si="5"/>
        <v>47822081.321782038</v>
      </c>
      <c r="G34" s="158">
        <f t="shared" si="5"/>
        <v>40027759.186181776</v>
      </c>
    </row>
    <row r="35" spans="1:14" x14ac:dyDescent="0.25">
      <c r="A35" s="8"/>
      <c r="B35" s="122"/>
      <c r="C35" s="122"/>
      <c r="D35" s="122"/>
      <c r="E35" s="122"/>
      <c r="F35" s="122"/>
      <c r="G35" s="122"/>
    </row>
    <row r="36" spans="1:14" x14ac:dyDescent="0.25">
      <c r="A36" s="8" t="s">
        <v>78</v>
      </c>
      <c r="B36" s="122">
        <f>+PRESUPUESTOS!H53</f>
        <v>772897196.26168227</v>
      </c>
      <c r="C36" s="122">
        <f>+B36</f>
        <v>772897196.26168227</v>
      </c>
      <c r="D36" s="122">
        <f t="shared" ref="D36:E36" si="6">+C36</f>
        <v>772897196.26168227</v>
      </c>
      <c r="E36" s="122">
        <f t="shared" si="6"/>
        <v>772897196.26168227</v>
      </c>
      <c r="F36" s="122">
        <f>+E36+PRESUPUESTOS!L53</f>
        <v>772897196.26168227</v>
      </c>
      <c r="G36" s="122">
        <f>+F36</f>
        <v>772897196.26168227</v>
      </c>
    </row>
    <row r="37" spans="1:14" x14ac:dyDescent="0.25">
      <c r="A37" s="8" t="s">
        <v>79</v>
      </c>
      <c r="B37" s="123">
        <v>0</v>
      </c>
      <c r="C37" s="123">
        <v>0</v>
      </c>
      <c r="D37" s="123">
        <f>+C39*0.1</f>
        <v>4384538.48411215</v>
      </c>
      <c r="E37" s="123">
        <f>+D37+D39*0.1</f>
        <v>9473992.9038837776</v>
      </c>
      <c r="F37" s="123">
        <f>+E37+E39*0.1</f>
        <v>15507056.738697518</v>
      </c>
      <c r="G37" s="123">
        <f>+F37+F39*0.1</f>
        <v>22547855.7667518</v>
      </c>
    </row>
    <row r="38" spans="1:14" x14ac:dyDescent="0.25">
      <c r="A38" s="8" t="s">
        <v>80</v>
      </c>
      <c r="B38" s="123">
        <v>0</v>
      </c>
      <c r="C38" s="123">
        <v>0</v>
      </c>
      <c r="D38" s="123">
        <f>+C38+0.9*C39</f>
        <v>39460846.357009344</v>
      </c>
      <c r="E38" s="123">
        <f>+D38+0.9*D39</f>
        <v>85265936.134954005</v>
      </c>
      <c r="F38" s="123">
        <f t="shared" ref="F38:G38" si="7">+E38+0.9*E39</f>
        <v>139563510.64827767</v>
      </c>
      <c r="G38" s="123">
        <f t="shared" si="7"/>
        <v>202930701.90076619</v>
      </c>
    </row>
    <row r="39" spans="1:14" x14ac:dyDescent="0.25">
      <c r="A39" s="8" t="s">
        <v>81</v>
      </c>
      <c r="B39" s="123">
        <v>0</v>
      </c>
      <c r="C39" s="123">
        <f>+'ESTADO RESULT'!C23</f>
        <v>43845384.841121495</v>
      </c>
      <c r="D39" s="123">
        <f>+'ESTADO RESULT'!D23</f>
        <v>50894544.197716281</v>
      </c>
      <c r="E39" s="123">
        <f>+'ESTADO RESULT'!E23</f>
        <v>60330638.348137401</v>
      </c>
      <c r="F39" s="123">
        <f>+'ESTADO RESULT'!F23</f>
        <v>70407990.280542821</v>
      </c>
      <c r="G39" s="123">
        <f>+'ESTADO RESULT'!G23</f>
        <v>81268480.771944821</v>
      </c>
      <c r="J39" s="29">
        <f>B34/B41</f>
        <v>6.9999999999999965E-2</v>
      </c>
      <c r="K39" s="29">
        <f t="shared" ref="K39:N39" si="8">C34/C41</f>
        <v>8.2334425712663861E-2</v>
      </c>
      <c r="L39" s="29">
        <f t="shared" si="8"/>
        <v>7.0137220073262493E-2</v>
      </c>
      <c r="M39" s="29">
        <f t="shared" si="8"/>
        <v>5.9007758803748235E-2</v>
      </c>
      <c r="N39" s="29">
        <f t="shared" si="8"/>
        <v>4.7899882517753269E-2</v>
      </c>
    </row>
    <row r="40" spans="1:14" x14ac:dyDescent="0.25">
      <c r="A40" s="8" t="s">
        <v>82</v>
      </c>
      <c r="B40" s="123">
        <v>0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</row>
    <row r="41" spans="1:14" x14ac:dyDescent="0.25">
      <c r="A41" s="157" t="s">
        <v>141</v>
      </c>
      <c r="B41" s="158">
        <f>+SUM(B36:B40)</f>
        <v>772897196.26168227</v>
      </c>
      <c r="C41" s="158">
        <f t="shared" ref="C41:G41" si="9">+SUM(C36:C40)</f>
        <v>816742581.10280371</v>
      </c>
      <c r="D41" s="158">
        <f t="shared" si="9"/>
        <v>867637125.30051994</v>
      </c>
      <c r="E41" s="158">
        <f t="shared" si="9"/>
        <v>927967763.64865744</v>
      </c>
      <c r="F41" s="158">
        <f>+SUM(F36:F40)</f>
        <v>998375753.92920029</v>
      </c>
      <c r="G41" s="158">
        <f t="shared" si="9"/>
        <v>1079644234.7011449</v>
      </c>
    </row>
    <row r="42" spans="1:14" x14ac:dyDescent="0.25">
      <c r="A42" s="8"/>
      <c r="B42" s="122"/>
      <c r="C42" s="122"/>
      <c r="D42" s="122"/>
      <c r="E42" s="122"/>
      <c r="F42" s="122"/>
      <c r="G42" s="122"/>
      <c r="J42" s="42">
        <f>(B21+B29)/B41</f>
        <v>6.9999999999999965E-2</v>
      </c>
      <c r="K42" s="42">
        <f t="shared" ref="K42:N42" si="10">(C21+C29)/C41</f>
        <v>5.5893428811393531E-2</v>
      </c>
      <c r="L42" s="42">
        <f t="shared" si="10"/>
        <v>4.1245577085015098E-2</v>
      </c>
      <c r="M42" s="42">
        <f t="shared" si="10"/>
        <v>2.6986074760712665E-2</v>
      </c>
      <c r="N42" s="42">
        <f t="shared" si="10"/>
        <v>1.3164901985120048E-2</v>
      </c>
    </row>
    <row r="43" spans="1:14" x14ac:dyDescent="0.25">
      <c r="A43" s="157" t="s">
        <v>142</v>
      </c>
      <c r="B43" s="159">
        <f>+B41+B34</f>
        <v>827000000</v>
      </c>
      <c r="C43" s="159">
        <f t="shared" ref="C43:G43" si="11">+C41+C34</f>
        <v>883988612.47298181</v>
      </c>
      <c r="D43" s="159">
        <f t="shared" si="11"/>
        <v>928490781.30145538</v>
      </c>
      <c r="E43" s="159">
        <f t="shared" si="11"/>
        <v>982725061.62369108</v>
      </c>
      <c r="F43" s="159">
        <f t="shared" si="11"/>
        <v>1046197835.2509823</v>
      </c>
      <c r="G43" s="159">
        <f t="shared" si="11"/>
        <v>1119671993.8873267</v>
      </c>
    </row>
    <row r="44" spans="1:14" x14ac:dyDescent="0.25">
      <c r="A44" s="8"/>
      <c r="B44" s="122"/>
      <c r="C44" s="122"/>
      <c r="D44" s="122"/>
      <c r="E44" s="122"/>
      <c r="F44" s="122"/>
      <c r="G44" s="122"/>
    </row>
    <row r="45" spans="1:14" x14ac:dyDescent="0.25">
      <c r="A45" s="114" t="s">
        <v>143</v>
      </c>
      <c r="B45" s="124">
        <f t="shared" ref="B45:G45" si="12">+B18-B43</f>
        <v>0</v>
      </c>
      <c r="C45" s="124">
        <f t="shared" si="12"/>
        <v>65035600.000000119</v>
      </c>
      <c r="D45" s="124">
        <f t="shared" si="12"/>
        <v>132033862.4000001</v>
      </c>
      <c r="E45" s="124">
        <f t="shared" si="12"/>
        <v>201024154.4447999</v>
      </c>
      <c r="F45" s="124">
        <f t="shared" si="12"/>
        <v>272110061.67592955</v>
      </c>
      <c r="G45" s="124">
        <f t="shared" si="12"/>
        <v>345400556.08307791</v>
      </c>
    </row>
    <row r="47" spans="1:14" x14ac:dyDescent="0.25">
      <c r="B47" s="30"/>
      <c r="C47" s="30"/>
      <c r="D47" s="30"/>
      <c r="E47" s="30"/>
      <c r="F47" s="30"/>
      <c r="G47" s="30"/>
    </row>
    <row r="48" spans="1:14" x14ac:dyDescent="0.25">
      <c r="B48" s="51"/>
      <c r="C48" s="51"/>
      <c r="D48" s="51"/>
      <c r="E48" s="51"/>
      <c r="F48" s="51"/>
      <c r="G48" s="51"/>
    </row>
    <row r="49" spans="2:7" x14ac:dyDescent="0.25">
      <c r="B49" s="42"/>
      <c r="C49" s="42"/>
      <c r="D49" s="42"/>
      <c r="E49" s="42"/>
      <c r="F49" s="42"/>
      <c r="G49" s="42"/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95"/>
  <sheetViews>
    <sheetView showGridLines="0" zoomScale="116" zoomScaleNormal="91" zoomScalePageLayoutView="91" workbookViewId="0">
      <selection activeCell="A27" sqref="A27"/>
    </sheetView>
  </sheetViews>
  <sheetFormatPr baseColWidth="10" defaultRowHeight="15.75" x14ac:dyDescent="0.25"/>
  <cols>
    <col min="1" max="1" width="64.625" customWidth="1"/>
    <col min="2" max="2" width="17.875" bestFit="1" customWidth="1"/>
    <col min="3" max="3" width="17" bestFit="1" customWidth="1"/>
    <col min="4" max="6" width="16.375" bestFit="1" customWidth="1"/>
    <col min="7" max="7" width="16.625" bestFit="1" customWidth="1"/>
    <col min="8" max="8" width="16.375" bestFit="1" customWidth="1"/>
    <col min="9" max="9" width="17" style="54" bestFit="1" customWidth="1"/>
    <col min="10" max="10" width="17" style="55" customWidth="1"/>
    <col min="11" max="11" width="18" bestFit="1" customWidth="1"/>
    <col min="12" max="12" width="13.5" customWidth="1"/>
  </cols>
  <sheetData>
    <row r="1" spans="1:52" x14ac:dyDescent="0.25">
      <c r="A1" s="6"/>
      <c r="B1" s="14">
        <v>2017</v>
      </c>
      <c r="C1" s="14">
        <v>2018</v>
      </c>
      <c r="D1" s="14">
        <v>2019</v>
      </c>
      <c r="E1" s="14">
        <v>2020</v>
      </c>
      <c r="F1" s="14">
        <v>2021</v>
      </c>
      <c r="G1" s="14">
        <v>2022</v>
      </c>
    </row>
    <row r="2" spans="1:52" x14ac:dyDescent="0.25">
      <c r="A2" s="4" t="s">
        <v>32</v>
      </c>
      <c r="B2" s="4"/>
      <c r="C2" s="7">
        <v>102116400</v>
      </c>
      <c r="D2" s="7">
        <v>110221601.59999999</v>
      </c>
      <c r="E2" s="7">
        <v>122354109.90871996</v>
      </c>
      <c r="F2" s="7">
        <v>134916576.69243485</v>
      </c>
      <c r="G2" s="7">
        <v>148445474.49413818</v>
      </c>
      <c r="J2" s="56"/>
      <c r="K2" s="2"/>
      <c r="L2" s="2"/>
    </row>
    <row r="3" spans="1:52" x14ac:dyDescent="0.25">
      <c r="A3" s="6" t="s">
        <v>33</v>
      </c>
      <c r="B3" s="6"/>
      <c r="C3" s="15">
        <v>30200000</v>
      </c>
      <c r="D3" s="15">
        <v>30200000</v>
      </c>
      <c r="E3" s="15">
        <v>30200000</v>
      </c>
      <c r="F3" s="15">
        <v>30200000</v>
      </c>
      <c r="G3" s="15">
        <v>30200000</v>
      </c>
    </row>
    <row r="4" spans="1:52" x14ac:dyDescent="0.25">
      <c r="A4" s="4" t="s">
        <v>192</v>
      </c>
      <c r="B4" s="4"/>
      <c r="C4" s="7">
        <f>+C2-C3</f>
        <v>71916400</v>
      </c>
      <c r="D4" s="7">
        <f>+D2-D3</f>
        <v>80021601.599999994</v>
      </c>
      <c r="E4" s="7">
        <f>+E2-E3</f>
        <v>92154109.908719957</v>
      </c>
      <c r="F4" s="7">
        <f>+F2-F3</f>
        <v>104716576.69243485</v>
      </c>
      <c r="G4" s="7">
        <f>+G2-G3</f>
        <v>118245474.49413818</v>
      </c>
    </row>
    <row r="5" spans="1:52" x14ac:dyDescent="0.25">
      <c r="A5" s="6" t="s">
        <v>28</v>
      </c>
      <c r="B5" s="6"/>
      <c r="C5" s="190">
        <v>23732412</v>
      </c>
      <c r="D5" s="190">
        <v>26407128.528000001</v>
      </c>
      <c r="E5" s="190">
        <v>30410856.269877587</v>
      </c>
      <c r="F5" s="190">
        <v>34556470.308503501</v>
      </c>
      <c r="G5" s="190">
        <v>39021006.583065599</v>
      </c>
    </row>
    <row r="6" spans="1:52" x14ac:dyDescent="0.25">
      <c r="A6" s="6" t="s">
        <v>34</v>
      </c>
      <c r="B6" s="6"/>
      <c r="C6" s="15">
        <f>+C4-C5</f>
        <v>48183988</v>
      </c>
      <c r="D6" s="15">
        <f>+D4-D5</f>
        <v>53614473.071999997</v>
      </c>
      <c r="E6" s="15">
        <f>+E4-E5</f>
        <v>61743253.638842374</v>
      </c>
      <c r="F6" s="15">
        <f>+F4-F5</f>
        <v>70160106.383931339</v>
      </c>
      <c r="G6" s="15">
        <f>+G4-G5</f>
        <v>79224467.911072582</v>
      </c>
    </row>
    <row r="7" spans="1:52" x14ac:dyDescent="0.25">
      <c r="A7" s="6" t="s">
        <v>35</v>
      </c>
      <c r="B7" s="6"/>
      <c r="C7" s="15">
        <f>+C3</f>
        <v>30200000</v>
      </c>
      <c r="D7" s="15">
        <f>+D3</f>
        <v>30200000</v>
      </c>
      <c r="E7" s="15">
        <f>+E3</f>
        <v>30200000</v>
      </c>
      <c r="F7" s="15">
        <f>+F3</f>
        <v>30200000</v>
      </c>
      <c r="G7" s="15">
        <f>+G3</f>
        <v>30200000</v>
      </c>
    </row>
    <row r="8" spans="1:52" x14ac:dyDescent="0.25">
      <c r="A8" s="4" t="s">
        <v>36</v>
      </c>
      <c r="B8" s="4"/>
      <c r="C8" s="7">
        <f>+C6+C7</f>
        <v>78383988</v>
      </c>
      <c r="D8" s="7">
        <f>+D6+D7</f>
        <v>83814473.071999997</v>
      </c>
      <c r="E8" s="7">
        <f>+E6+E7</f>
        <v>91943253.638842374</v>
      </c>
      <c r="F8" s="7">
        <f>+F6+F7</f>
        <v>100360106.38393134</v>
      </c>
      <c r="G8" s="7">
        <f>+G6+G7</f>
        <v>109424467.91107258</v>
      </c>
    </row>
    <row r="9" spans="1:52" x14ac:dyDescent="0.25">
      <c r="A9" s="6" t="s">
        <v>37</v>
      </c>
      <c r="B9" s="6"/>
      <c r="C9" s="190">
        <f>+(C25-B25)*-1</f>
        <v>1368671.3985405192</v>
      </c>
      <c r="D9" s="190">
        <f>+(D25-C25)*-1</f>
        <v>2263334.4714023396</v>
      </c>
      <c r="E9" s="190">
        <f>+(E25-D25)*-1</f>
        <v>2729059.3216454685</v>
      </c>
      <c r="F9" s="190">
        <f>+(F25-E25)*-1</f>
        <v>2986265.2324022539</v>
      </c>
      <c r="G9" s="190">
        <f>+(G25-F25)*-1</f>
        <v>3217221.326400701</v>
      </c>
    </row>
    <row r="10" spans="1:52" x14ac:dyDescent="0.25">
      <c r="A10" s="6" t="s">
        <v>38</v>
      </c>
      <c r="B10" s="15">
        <v>-827000000</v>
      </c>
      <c r="C10" s="6"/>
      <c r="D10" s="6"/>
      <c r="E10" s="6"/>
      <c r="F10" s="15">
        <v>0</v>
      </c>
      <c r="G10" s="6"/>
      <c r="J10" s="54"/>
      <c r="K10" s="2"/>
    </row>
    <row r="11" spans="1:52" x14ac:dyDescent="0.25">
      <c r="A11" s="157" t="s">
        <v>39</v>
      </c>
      <c r="B11" s="191">
        <f t="shared" ref="B11:G11" si="0">+SUM(B8:B10)</f>
        <v>-827000000</v>
      </c>
      <c r="C11" s="191">
        <f t="shared" si="0"/>
        <v>79752659.398540527</v>
      </c>
      <c r="D11" s="191">
        <f t="shared" si="0"/>
        <v>86077807.543402344</v>
      </c>
      <c r="E11" s="191">
        <f t="shared" si="0"/>
        <v>94672312.960487843</v>
      </c>
      <c r="F11" s="191">
        <f t="shared" si="0"/>
        <v>103346371.61633359</v>
      </c>
      <c r="G11" s="191">
        <f t="shared" si="0"/>
        <v>112641689.23747328</v>
      </c>
      <c r="H11" s="2"/>
      <c r="J11" s="5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5">
      <c r="A12" s="52"/>
      <c r="B12" s="52"/>
      <c r="C12" s="52"/>
      <c r="D12" s="52"/>
      <c r="E12" s="52"/>
      <c r="F12" s="52"/>
      <c r="G12" s="52"/>
      <c r="J12" s="54"/>
      <c r="K12" s="2"/>
    </row>
    <row r="13" spans="1:52" x14ac:dyDescent="0.25">
      <c r="A13" s="4" t="s">
        <v>39</v>
      </c>
      <c r="B13" s="7">
        <f t="shared" ref="B13:G13" si="1">+B11</f>
        <v>-827000000</v>
      </c>
      <c r="C13" s="7">
        <f t="shared" si="1"/>
        <v>79752659.398540527</v>
      </c>
      <c r="D13" s="7">
        <f t="shared" si="1"/>
        <v>86077807.543402344</v>
      </c>
      <c r="E13" s="7">
        <f t="shared" si="1"/>
        <v>94672312.960487843</v>
      </c>
      <c r="F13" s="7">
        <f t="shared" si="1"/>
        <v>103346371.61633359</v>
      </c>
      <c r="G13" s="7">
        <f t="shared" si="1"/>
        <v>112641689.23747328</v>
      </c>
      <c r="I13" s="57"/>
      <c r="J13" s="54"/>
      <c r="K13" s="2"/>
    </row>
    <row r="14" spans="1:52" x14ac:dyDescent="0.25">
      <c r="A14" s="6" t="s">
        <v>40</v>
      </c>
      <c r="B14" s="15">
        <v>54102803.738317728</v>
      </c>
      <c r="C14" s="15">
        <v>-8452260.4242143612</v>
      </c>
      <c r="D14" s="15">
        <v>-9864349.3806998674</v>
      </c>
      <c r="E14" s="15">
        <v>-10743986.488049489</v>
      </c>
      <c r="F14" s="15">
        <v>-11898688.500555757</v>
      </c>
      <c r="G14" s="15">
        <v>-13143518.944798255</v>
      </c>
      <c r="J14" s="54"/>
      <c r="K14" s="2"/>
    </row>
    <row r="15" spans="1:52" x14ac:dyDescent="0.25">
      <c r="A15" s="6" t="s">
        <v>41</v>
      </c>
      <c r="B15" s="6"/>
      <c r="C15" s="15">
        <v>6697927.1028037351</v>
      </c>
      <c r="D15" s="15">
        <v>4476928.9347518068</v>
      </c>
      <c r="E15" s="15">
        <v>3810887.3511828925</v>
      </c>
      <c r="F15" s="15">
        <v>2619893.9671003753</v>
      </c>
      <c r="G15" s="15">
        <v>1375063.5228578846</v>
      </c>
      <c r="J15" s="54"/>
      <c r="K15" s="2"/>
    </row>
    <row r="16" spans="1:52" x14ac:dyDescent="0.25">
      <c r="A16" s="6" t="s">
        <v>43</v>
      </c>
      <c r="B16" s="6"/>
      <c r="C16" s="190">
        <v>2210315.9439252326</v>
      </c>
      <c r="D16" s="190">
        <v>1477386.5484680964</v>
      </c>
      <c r="E16" s="190">
        <v>1257592.8258903546</v>
      </c>
      <c r="F16" s="190">
        <v>864565.00914312387</v>
      </c>
      <c r="G16" s="190">
        <v>453770.96254310198</v>
      </c>
      <c r="J16" s="56"/>
      <c r="K16" s="2"/>
    </row>
    <row r="17" spans="1:11" x14ac:dyDescent="0.25">
      <c r="A17" s="157" t="s">
        <v>42</v>
      </c>
      <c r="B17" s="172">
        <f t="shared" ref="B17:G17" si="2">+B13+B14-B15+B16</f>
        <v>-772897196.26168227</v>
      </c>
      <c r="C17" s="172">
        <f t="shared" si="2"/>
        <v>66812787.815447658</v>
      </c>
      <c r="D17" s="172">
        <f t="shared" si="2"/>
        <v>73213915.77641876</v>
      </c>
      <c r="E17" s="172">
        <f t="shared" si="2"/>
        <v>81375031.947145805</v>
      </c>
      <c r="F17" s="172">
        <f t="shared" si="2"/>
        <v>89692354.157820582</v>
      </c>
      <c r="G17" s="172">
        <f t="shared" si="2"/>
        <v>98576877.732360229</v>
      </c>
    </row>
    <row r="18" spans="1:11" x14ac:dyDescent="0.25">
      <c r="A18" s="8" t="s">
        <v>153</v>
      </c>
      <c r="C18">
        <f>+B18</f>
        <v>0</v>
      </c>
      <c r="D18" s="2">
        <f>+C19</f>
        <v>66812787.815447658</v>
      </c>
      <c r="E18" s="2">
        <f>+D19</f>
        <v>140026703.59186643</v>
      </c>
      <c r="F18" s="2">
        <f>+E19</f>
        <v>221401735.53901225</v>
      </c>
      <c r="G18" s="2">
        <f>+F19</f>
        <v>311094089.69683284</v>
      </c>
      <c r="I18" s="58"/>
      <c r="K18" s="25"/>
    </row>
    <row r="19" spans="1:11" x14ac:dyDescent="0.25">
      <c r="A19" s="31" t="s">
        <v>154</v>
      </c>
      <c r="B19" s="7"/>
      <c r="C19" s="7">
        <f>+C17+C18</f>
        <v>66812787.815447658</v>
      </c>
      <c r="D19" s="7">
        <f>+D17+D18</f>
        <v>140026703.59186643</v>
      </c>
      <c r="E19" s="7">
        <f>+E17+E18</f>
        <v>221401735.53901225</v>
      </c>
      <c r="F19" s="7">
        <f>+F17+F18</f>
        <v>311094089.69683284</v>
      </c>
      <c r="G19" s="7">
        <f>+G17+G18</f>
        <v>409670967.42919308</v>
      </c>
      <c r="H19" s="2"/>
    </row>
    <row r="20" spans="1:11" x14ac:dyDescent="0.25">
      <c r="A20" s="8" t="s">
        <v>155</v>
      </c>
      <c r="B20" s="15"/>
      <c r="C20" s="15">
        <v>-65035600</v>
      </c>
      <c r="D20" s="15">
        <v>-132033862.39999998</v>
      </c>
      <c r="E20" s="15">
        <v>-201024154.44479996</v>
      </c>
      <c r="F20" s="15">
        <v>-272110061.67592961</v>
      </c>
      <c r="G20" s="15">
        <v>-345400556.08307797</v>
      </c>
    </row>
    <row r="21" spans="1:11" x14ac:dyDescent="0.25">
      <c r="A21" s="8"/>
      <c r="B21" s="13"/>
      <c r="C21" s="6"/>
      <c r="D21" s="6"/>
      <c r="E21" s="6"/>
      <c r="F21" s="6"/>
      <c r="G21" s="6"/>
      <c r="I21" s="59"/>
    </row>
    <row r="22" spans="1:11" x14ac:dyDescent="0.25">
      <c r="B22" s="2"/>
      <c r="C22" s="2"/>
      <c r="D22" s="2"/>
      <c r="E22" s="2"/>
      <c r="F22" s="2"/>
      <c r="G22" s="2"/>
      <c r="H22" s="2"/>
    </row>
    <row r="23" spans="1:11" x14ac:dyDescent="0.25">
      <c r="B23" s="53"/>
      <c r="I23" s="59"/>
    </row>
    <row r="24" spans="1:11" x14ac:dyDescent="0.25">
      <c r="A24" s="6"/>
      <c r="B24" s="14">
        <f t="shared" ref="B24:G24" si="3">+B1</f>
        <v>2017</v>
      </c>
      <c r="C24" s="14">
        <f t="shared" si="3"/>
        <v>2018</v>
      </c>
      <c r="D24" s="14">
        <f t="shared" si="3"/>
        <v>2019</v>
      </c>
      <c r="E24" s="14">
        <f t="shared" si="3"/>
        <v>2020</v>
      </c>
      <c r="F24" s="14">
        <f t="shared" si="3"/>
        <v>2021</v>
      </c>
      <c r="G24" s="14">
        <f t="shared" si="3"/>
        <v>2022</v>
      </c>
      <c r="I24" s="60"/>
    </row>
    <row r="25" spans="1:11" x14ac:dyDescent="0.25">
      <c r="A25" s="32" t="s">
        <v>152</v>
      </c>
      <c r="B25" s="33">
        <v>0</v>
      </c>
      <c r="C25" s="33">
        <v>-1368671.3985405192</v>
      </c>
      <c r="D25" s="33">
        <v>-3632005.8699428588</v>
      </c>
      <c r="E25" s="33">
        <v>-6361065.1915883273</v>
      </c>
      <c r="F25" s="33">
        <v>-9347330.4239905812</v>
      </c>
      <c r="G25" s="33">
        <v>-12564551.750391282</v>
      </c>
      <c r="H25" s="29"/>
      <c r="I25" s="59"/>
    </row>
    <row r="26" spans="1:11" x14ac:dyDescent="0.25">
      <c r="A26" s="28"/>
      <c r="B26" s="29"/>
      <c r="C26" s="29"/>
      <c r="D26" s="29"/>
      <c r="E26" s="29"/>
      <c r="F26" s="29"/>
      <c r="G26" s="29"/>
      <c r="H26" s="29"/>
    </row>
    <row r="27" spans="1:11" x14ac:dyDescent="0.25">
      <c r="A27" s="28"/>
      <c r="B27" s="29"/>
      <c r="C27" s="189"/>
      <c r="D27" s="189"/>
      <c r="E27" s="189"/>
      <c r="F27" s="189"/>
      <c r="G27" s="189"/>
      <c r="H27" s="29"/>
    </row>
    <row r="28" spans="1:11" x14ac:dyDescent="0.25">
      <c r="A28" s="28"/>
      <c r="B28" s="29"/>
      <c r="C28" s="29"/>
      <c r="D28" s="29"/>
      <c r="E28" s="29"/>
      <c r="F28" s="29"/>
      <c r="G28" s="29"/>
      <c r="H28" s="29"/>
    </row>
    <row r="29" spans="1:11" x14ac:dyDescent="0.25">
      <c r="A29" s="46" t="s">
        <v>157</v>
      </c>
      <c r="B29" s="29"/>
      <c r="C29" s="29"/>
      <c r="D29" s="29"/>
      <c r="E29" s="29"/>
      <c r="F29" s="29"/>
      <c r="G29" s="29"/>
      <c r="H29" s="29"/>
    </row>
    <row r="30" spans="1:11" x14ac:dyDescent="0.25">
      <c r="A30" s="6"/>
      <c r="B30" s="14">
        <f t="shared" ref="B30:G30" si="4">+B24</f>
        <v>2017</v>
      </c>
      <c r="C30" s="14">
        <f t="shared" si="4"/>
        <v>2018</v>
      </c>
      <c r="D30" s="14">
        <f t="shared" si="4"/>
        <v>2019</v>
      </c>
      <c r="E30" s="14">
        <f t="shared" si="4"/>
        <v>2020</v>
      </c>
      <c r="F30" s="14">
        <f t="shared" si="4"/>
        <v>2021</v>
      </c>
      <c r="G30" s="14">
        <f t="shared" si="4"/>
        <v>2022</v>
      </c>
    </row>
    <row r="31" spans="1:11" x14ac:dyDescent="0.25">
      <c r="A31" s="192" t="s">
        <v>158</v>
      </c>
      <c r="B31" s="29"/>
      <c r="C31" s="29"/>
      <c r="D31" s="29"/>
      <c r="E31" s="29"/>
      <c r="F31" s="29"/>
      <c r="H31" s="29"/>
    </row>
    <row r="32" spans="1:11" x14ac:dyDescent="0.25">
      <c r="A32" s="28" t="s">
        <v>159</v>
      </c>
      <c r="B32" s="29"/>
      <c r="C32" s="29"/>
      <c r="D32" s="29"/>
      <c r="E32" s="29"/>
      <c r="F32" s="29"/>
      <c r="G32" s="30">
        <v>676000000</v>
      </c>
      <c r="H32" s="29"/>
    </row>
    <row r="33" spans="1:8" x14ac:dyDescent="0.25">
      <c r="A33" s="28" t="s">
        <v>160</v>
      </c>
      <c r="B33" s="29"/>
      <c r="C33" s="29"/>
      <c r="D33" s="29"/>
      <c r="E33" s="29"/>
      <c r="F33" s="29"/>
      <c r="G33" s="30">
        <f>+G9*-1</f>
        <v>-3217221.326400701</v>
      </c>
      <c r="H33" s="29"/>
    </row>
    <row r="34" spans="1:8" x14ac:dyDescent="0.25">
      <c r="A34" s="46" t="s">
        <v>1</v>
      </c>
      <c r="B34" s="34"/>
      <c r="C34" s="34"/>
      <c r="D34" s="34"/>
      <c r="E34" s="34"/>
      <c r="F34" s="34"/>
      <c r="G34" s="36">
        <f>+SUM(G32:G33)</f>
        <v>672782778.67359924</v>
      </c>
      <c r="H34" s="29"/>
    </row>
    <row r="35" spans="1:8" ht="16.5" thickBot="1" x14ac:dyDescent="0.3">
      <c r="A35" s="28"/>
      <c r="B35" s="29"/>
      <c r="C35" s="29"/>
      <c r="D35" s="29"/>
      <c r="E35" s="29"/>
      <c r="F35" s="29"/>
      <c r="G35" s="29"/>
      <c r="H35" s="29"/>
    </row>
    <row r="36" spans="1:8" ht="16.5" thickBot="1" x14ac:dyDescent="0.3">
      <c r="A36" s="48" t="s">
        <v>161</v>
      </c>
      <c r="B36" s="49"/>
      <c r="C36" s="49"/>
      <c r="D36" s="49"/>
      <c r="E36" s="49"/>
      <c r="F36" s="49"/>
      <c r="G36" s="50"/>
      <c r="H36" s="29"/>
    </row>
    <row r="37" spans="1:8" x14ac:dyDescent="0.25">
      <c r="A37" s="28"/>
      <c r="B37" s="29"/>
      <c r="C37" s="29"/>
      <c r="D37" s="29"/>
      <c r="E37" s="29"/>
      <c r="F37" s="29"/>
      <c r="G37" s="29"/>
      <c r="H37" s="29"/>
    </row>
    <row r="38" spans="1:8" x14ac:dyDescent="0.25">
      <c r="A38" s="192" t="s">
        <v>164</v>
      </c>
      <c r="B38" s="29"/>
      <c r="C38" s="29"/>
      <c r="D38" s="29"/>
      <c r="E38" s="29"/>
      <c r="F38" s="29"/>
      <c r="G38" s="29"/>
      <c r="H38" s="29"/>
    </row>
    <row r="39" spans="1:8" x14ac:dyDescent="0.25">
      <c r="A39" s="28" t="s">
        <v>112</v>
      </c>
      <c r="B39" s="29"/>
      <c r="C39" s="29"/>
      <c r="D39" s="29"/>
      <c r="E39" s="29"/>
      <c r="F39" s="29"/>
      <c r="G39" s="47">
        <v>690496585.63799989</v>
      </c>
      <c r="H39" s="29"/>
    </row>
    <row r="40" spans="1:8" x14ac:dyDescent="0.25">
      <c r="A40" s="28" t="s">
        <v>162</v>
      </c>
      <c r="B40" s="29"/>
      <c r="C40" s="29"/>
      <c r="D40" s="29"/>
      <c r="E40" s="29"/>
      <c r="F40" s="29"/>
      <c r="G40" s="189">
        <v>40000000</v>
      </c>
      <c r="H40" s="29"/>
    </row>
    <row r="41" spans="1:8" x14ac:dyDescent="0.25">
      <c r="A41" s="28" t="s">
        <v>160</v>
      </c>
      <c r="B41" s="29"/>
      <c r="C41" s="29"/>
      <c r="D41" s="29"/>
      <c r="E41" s="29"/>
      <c r="F41" s="29"/>
      <c r="G41" s="30">
        <f>+G33</f>
        <v>-3217221.326400701</v>
      </c>
      <c r="H41" s="29"/>
    </row>
    <row r="42" spans="1:8" x14ac:dyDescent="0.25">
      <c r="A42" s="46" t="s">
        <v>1</v>
      </c>
      <c r="B42" s="34"/>
      <c r="C42" s="34"/>
      <c r="D42" s="34"/>
      <c r="E42" s="34"/>
      <c r="F42" s="34"/>
      <c r="G42" s="36">
        <f>+SUM(G39:G41)</f>
        <v>727279364.31159914</v>
      </c>
      <c r="H42" s="29"/>
    </row>
    <row r="43" spans="1:8" ht="16.5" thickBot="1" x14ac:dyDescent="0.3">
      <c r="A43" s="28"/>
      <c r="B43" s="29"/>
      <c r="C43" s="29"/>
      <c r="D43" s="29"/>
      <c r="E43" s="29"/>
      <c r="F43" s="29"/>
      <c r="G43" s="29"/>
      <c r="H43" s="29"/>
    </row>
    <row r="44" spans="1:8" ht="16.5" thickBot="1" x14ac:dyDescent="0.3">
      <c r="A44" s="48" t="s">
        <v>161</v>
      </c>
      <c r="B44" s="49"/>
      <c r="C44" s="49"/>
      <c r="D44" s="49"/>
      <c r="E44" s="49"/>
      <c r="F44" s="49"/>
      <c r="G44" s="50"/>
      <c r="H44" s="29"/>
    </row>
    <row r="45" spans="1:8" x14ac:dyDescent="0.25">
      <c r="A45" s="29"/>
      <c r="B45" s="29"/>
      <c r="C45" s="29"/>
      <c r="D45" s="29"/>
      <c r="E45" s="29"/>
      <c r="F45" s="29"/>
      <c r="G45" s="29"/>
      <c r="H45" s="29"/>
    </row>
    <row r="46" spans="1:8" x14ac:dyDescent="0.25">
      <c r="A46" s="29"/>
      <c r="B46" s="29"/>
      <c r="C46" s="29"/>
      <c r="D46" s="29"/>
      <c r="E46" s="29"/>
      <c r="F46" s="29"/>
      <c r="G46" s="30">
        <f>+G11</f>
        <v>112641689.23747328</v>
      </c>
      <c r="H46" s="29"/>
    </row>
    <row r="47" spans="1:8" x14ac:dyDescent="0.25">
      <c r="A47" s="192" t="s">
        <v>166</v>
      </c>
      <c r="B47" s="29"/>
      <c r="C47" s="29"/>
      <c r="D47" s="29"/>
      <c r="E47" s="29"/>
      <c r="F47" s="189">
        <f>+G46/(B48-B49)</f>
        <v>964139873.64595389</v>
      </c>
      <c r="G47" s="29"/>
      <c r="H47" s="29"/>
    </row>
    <row r="48" spans="1:8" x14ac:dyDescent="0.25">
      <c r="A48" s="28" t="s">
        <v>60</v>
      </c>
      <c r="B48" s="61">
        <v>0.1538312734660707</v>
      </c>
      <c r="C48" s="29"/>
      <c r="D48" s="29"/>
      <c r="E48" s="29"/>
      <c r="F48" s="29"/>
      <c r="G48" s="47"/>
      <c r="H48" s="29"/>
    </row>
    <row r="49" spans="1:29" x14ac:dyDescent="0.25">
      <c r="A49" s="28" t="s">
        <v>167</v>
      </c>
      <c r="B49" s="61">
        <v>3.6999999999999998E-2</v>
      </c>
      <c r="C49" s="29"/>
      <c r="D49" s="29"/>
      <c r="E49" s="29"/>
      <c r="F49" s="29"/>
      <c r="G49" s="189"/>
      <c r="H49" s="29"/>
    </row>
    <row r="50" spans="1:29" x14ac:dyDescent="0.25">
      <c r="A50" s="28"/>
      <c r="B50" s="29"/>
      <c r="C50" s="29"/>
      <c r="D50" s="29"/>
      <c r="E50" s="29"/>
      <c r="F50" s="29"/>
      <c r="G50" s="30"/>
      <c r="H50" s="29"/>
    </row>
    <row r="51" spans="1:29" x14ac:dyDescent="0.25">
      <c r="A51" s="46" t="s">
        <v>1</v>
      </c>
      <c r="B51" s="34"/>
      <c r="C51" s="34"/>
      <c r="D51" s="34"/>
      <c r="E51" s="34"/>
      <c r="F51" s="34"/>
      <c r="G51" s="36"/>
      <c r="H51" s="29"/>
    </row>
    <row r="52" spans="1:29" ht="16.5" thickBot="1" x14ac:dyDescent="0.3">
      <c r="A52" s="28"/>
      <c r="B52" s="29"/>
      <c r="C52" s="29"/>
      <c r="D52" s="29"/>
      <c r="E52" s="29"/>
      <c r="F52" s="29"/>
      <c r="G52" s="29"/>
      <c r="H52" s="29"/>
    </row>
    <row r="53" spans="1:29" ht="16.5" thickBot="1" x14ac:dyDescent="0.3">
      <c r="A53" s="48" t="s">
        <v>161</v>
      </c>
      <c r="B53" s="49"/>
      <c r="C53" s="49"/>
      <c r="D53" s="49"/>
      <c r="E53" s="49"/>
      <c r="F53" s="49"/>
      <c r="G53" s="50"/>
      <c r="H53" s="29"/>
    </row>
    <row r="54" spans="1:29" x14ac:dyDescent="0.25">
      <c r="A54" s="29"/>
      <c r="B54" s="29"/>
      <c r="C54" s="29"/>
      <c r="D54" s="29"/>
      <c r="E54" s="29"/>
      <c r="F54" s="29"/>
      <c r="G54" s="29"/>
      <c r="H54" s="29"/>
    </row>
    <row r="55" spans="1:29" x14ac:dyDescent="0.25">
      <c r="A55" s="63" t="s">
        <v>174</v>
      </c>
      <c r="B55" s="194"/>
      <c r="C55" s="29"/>
      <c r="D55" s="29"/>
      <c r="E55" s="29"/>
      <c r="F55" s="29"/>
      <c r="G55" s="29"/>
      <c r="H55" s="29"/>
    </row>
    <row r="56" spans="1:29" x14ac:dyDescent="0.25">
      <c r="B56" s="195"/>
    </row>
    <row r="57" spans="1:29" x14ac:dyDescent="0.25">
      <c r="A57" s="193" t="str">
        <f>+A31</f>
        <v>METODO 1: CONTABLE</v>
      </c>
      <c r="B57" s="196">
        <f t="shared" ref="B57:G57" si="5">+B30</f>
        <v>2017</v>
      </c>
      <c r="C57" s="66">
        <f t="shared" si="5"/>
        <v>2018</v>
      </c>
      <c r="D57" s="66">
        <f t="shared" si="5"/>
        <v>2019</v>
      </c>
      <c r="E57" s="66">
        <f t="shared" si="5"/>
        <v>2020</v>
      </c>
      <c r="F57" s="66">
        <f t="shared" si="5"/>
        <v>2021</v>
      </c>
      <c r="G57" s="66">
        <f t="shared" si="5"/>
        <v>2022</v>
      </c>
    </row>
    <row r="58" spans="1:29" x14ac:dyDescent="0.25">
      <c r="A58" s="9"/>
      <c r="B58" s="197"/>
      <c r="C58" s="9"/>
      <c r="D58" s="9"/>
      <c r="E58" s="9"/>
      <c r="F58" s="9"/>
      <c r="G58" s="9"/>
      <c r="H58" s="9"/>
    </row>
    <row r="59" spans="1:29" s="24" customFormat="1" x14ac:dyDescent="0.25">
      <c r="A59" s="10" t="s">
        <v>169</v>
      </c>
      <c r="B59" s="198">
        <f>+B11</f>
        <v>-827000000</v>
      </c>
      <c r="C59" s="12">
        <f>+C11</f>
        <v>79752659.398540527</v>
      </c>
      <c r="D59" s="12">
        <f>+D11</f>
        <v>86077807.543402344</v>
      </c>
      <c r="E59" s="12">
        <f>+E11</f>
        <v>94672312.960487843</v>
      </c>
      <c r="F59" s="12">
        <f>+F11</f>
        <v>103346371.61633359</v>
      </c>
      <c r="G59" s="12">
        <f>+G34</f>
        <v>672782778.67359924</v>
      </c>
      <c r="H59" s="9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x14ac:dyDescent="0.25">
      <c r="A60" s="10"/>
      <c r="B60" s="186"/>
      <c r="C60" s="10"/>
      <c r="D60" s="10"/>
      <c r="E60" s="10"/>
      <c r="F60" s="10"/>
      <c r="G60" s="10"/>
      <c r="H60" s="9"/>
      <c r="I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x14ac:dyDescent="0.25">
      <c r="A61" s="10" t="s">
        <v>168</v>
      </c>
      <c r="B61" s="199">
        <f>+NPV(B48,C59:G59)+B59</f>
        <v>-244310870.62050772</v>
      </c>
      <c r="C61" s="187"/>
      <c r="D61" s="10"/>
      <c r="E61" s="10"/>
      <c r="F61" s="10"/>
      <c r="G61" s="10"/>
      <c r="H61" s="9"/>
    </row>
    <row r="62" spans="1:29" x14ac:dyDescent="0.25">
      <c r="A62" s="10" t="s">
        <v>170</v>
      </c>
      <c r="B62" s="200">
        <f>+IRR(B59:G59)</f>
        <v>5.6487959814205846E-2</v>
      </c>
      <c r="C62" s="10"/>
      <c r="D62" s="10"/>
      <c r="E62" s="10"/>
      <c r="F62" s="10"/>
      <c r="G62" s="10"/>
      <c r="H62" s="9"/>
    </row>
    <row r="63" spans="1:29" x14ac:dyDescent="0.25">
      <c r="A63" s="10" t="s">
        <v>171</v>
      </c>
      <c r="B63" s="201">
        <f>+B65/B66</f>
        <v>0.70458177675875733</v>
      </c>
      <c r="C63" s="10"/>
      <c r="D63" s="10"/>
      <c r="E63" s="10"/>
      <c r="F63" s="10"/>
      <c r="G63" s="10"/>
      <c r="H63" s="9"/>
    </row>
    <row r="64" spans="1:29" x14ac:dyDescent="0.25">
      <c r="A64" s="10" t="s">
        <v>173</v>
      </c>
      <c r="B64" s="186" t="s">
        <v>233</v>
      </c>
      <c r="C64" s="10"/>
      <c r="D64" s="10"/>
      <c r="E64" s="10"/>
      <c r="F64" s="10"/>
      <c r="G64" s="10"/>
      <c r="H64" s="9"/>
    </row>
    <row r="65" spans="1:8" x14ac:dyDescent="0.25">
      <c r="A65" s="10" t="s">
        <v>172</v>
      </c>
      <c r="B65" s="199">
        <f>+NPV(B48,C59:G59)</f>
        <v>582689129.37949228</v>
      </c>
      <c r="C65" s="10"/>
      <c r="D65" s="10"/>
      <c r="E65" s="10"/>
      <c r="F65" s="10"/>
      <c r="G65" s="10"/>
      <c r="H65" s="9"/>
    </row>
    <row r="66" spans="1:8" x14ac:dyDescent="0.25">
      <c r="A66" s="10" t="s">
        <v>57</v>
      </c>
      <c r="B66" s="198">
        <f>-B59</f>
        <v>827000000</v>
      </c>
      <c r="C66" s="10"/>
      <c r="D66" s="10"/>
      <c r="E66" s="10"/>
      <c r="F66" s="10"/>
      <c r="G66" s="10"/>
      <c r="H66" s="9"/>
    </row>
    <row r="67" spans="1:8" x14ac:dyDescent="0.25">
      <c r="A67" s="10"/>
      <c r="B67" s="198">
        <f>+B65-B66</f>
        <v>-244310870.62050772</v>
      </c>
      <c r="C67" s="10"/>
      <c r="D67" s="10"/>
      <c r="E67" s="10"/>
      <c r="F67" s="10"/>
      <c r="G67" s="10"/>
      <c r="H67" s="9"/>
    </row>
    <row r="68" spans="1:8" x14ac:dyDescent="0.25">
      <c r="A68" s="9"/>
      <c r="B68" s="197"/>
      <c r="C68" s="9"/>
      <c r="D68" s="9"/>
      <c r="E68" s="9"/>
      <c r="F68" s="9"/>
      <c r="G68" s="9"/>
      <c r="H68" s="9"/>
    </row>
    <row r="69" spans="1:8" x14ac:dyDescent="0.25">
      <c r="A69" s="9"/>
      <c r="B69" s="202"/>
      <c r="C69" s="64"/>
      <c r="D69" s="64"/>
      <c r="E69" s="64"/>
      <c r="F69" s="64"/>
      <c r="G69" s="64"/>
      <c r="H69" s="9"/>
    </row>
    <row r="70" spans="1:8" x14ac:dyDescent="0.25">
      <c r="A70" s="192" t="s">
        <v>164</v>
      </c>
      <c r="B70" s="196">
        <f t="shared" ref="B70:G70" si="6">+B57</f>
        <v>2017</v>
      </c>
      <c r="C70" s="66">
        <f t="shared" si="6"/>
        <v>2018</v>
      </c>
      <c r="D70" s="66">
        <f t="shared" si="6"/>
        <v>2019</v>
      </c>
      <c r="E70" s="66">
        <f t="shared" si="6"/>
        <v>2020</v>
      </c>
      <c r="F70" s="66">
        <f t="shared" si="6"/>
        <v>2021</v>
      </c>
      <c r="G70" s="66">
        <f t="shared" si="6"/>
        <v>2022</v>
      </c>
    </row>
    <row r="71" spans="1:8" x14ac:dyDescent="0.25">
      <c r="B71" s="195"/>
      <c r="D71" s="25"/>
      <c r="E71" s="188"/>
    </row>
    <row r="72" spans="1:8" x14ac:dyDescent="0.25">
      <c r="A72" s="10" t="s">
        <v>169</v>
      </c>
      <c r="B72" s="198">
        <f>+B11</f>
        <v>-827000000</v>
      </c>
      <c r="C72" s="12">
        <f>+C11</f>
        <v>79752659.398540527</v>
      </c>
      <c r="D72" s="12">
        <f>+D11</f>
        <v>86077807.543402344</v>
      </c>
      <c r="E72" s="12">
        <f>+E11</f>
        <v>94672312.960487843</v>
      </c>
      <c r="F72" s="12">
        <f>+F11</f>
        <v>103346371.61633359</v>
      </c>
      <c r="G72" s="12">
        <f>+G42</f>
        <v>727279364.31159914</v>
      </c>
    </row>
    <row r="73" spans="1:8" x14ac:dyDescent="0.25">
      <c r="A73" s="10"/>
      <c r="B73" s="186"/>
      <c r="C73" s="10"/>
      <c r="D73" s="10"/>
      <c r="E73" s="10"/>
      <c r="F73" s="10"/>
      <c r="G73" s="10"/>
    </row>
    <row r="74" spans="1:8" x14ac:dyDescent="0.25">
      <c r="A74" s="10" t="s">
        <v>168</v>
      </c>
      <c r="B74" s="199">
        <f>+NPV(B48,C72:G72)+B72</f>
        <v>-217663291.28702664</v>
      </c>
      <c r="C74" s="187"/>
      <c r="D74" s="10"/>
      <c r="E74" s="10"/>
      <c r="F74" s="10"/>
      <c r="G74" s="10"/>
    </row>
    <row r="75" spans="1:8" x14ac:dyDescent="0.25">
      <c r="A75" s="10" t="s">
        <v>170</v>
      </c>
      <c r="B75" s="200">
        <f>+IRR(B72:G72)</f>
        <v>6.9169365604298871E-2</v>
      </c>
      <c r="C75" s="10"/>
      <c r="D75" s="10"/>
      <c r="E75" s="10"/>
      <c r="F75" s="10"/>
      <c r="G75" s="10"/>
    </row>
    <row r="76" spans="1:8" x14ac:dyDescent="0.25">
      <c r="A76" s="10" t="s">
        <v>171</v>
      </c>
      <c r="B76" s="201">
        <f>+B78/B79</f>
        <v>0.73680375902415163</v>
      </c>
      <c r="C76" s="10"/>
      <c r="D76" s="10"/>
      <c r="E76" s="10"/>
      <c r="F76" s="10"/>
      <c r="G76" s="10"/>
    </row>
    <row r="77" spans="1:8" x14ac:dyDescent="0.25">
      <c r="A77" s="10" t="s">
        <v>173</v>
      </c>
      <c r="B77" s="186" t="s">
        <v>232</v>
      </c>
      <c r="C77" s="10"/>
      <c r="D77" s="10"/>
      <c r="E77" s="10"/>
      <c r="F77" s="10"/>
      <c r="G77" s="10"/>
    </row>
    <row r="78" spans="1:8" x14ac:dyDescent="0.25">
      <c r="A78" s="10" t="s">
        <v>172</v>
      </c>
      <c r="B78" s="199">
        <f>+NPV(B48,C72:G72)</f>
        <v>609336708.71297336</v>
      </c>
      <c r="C78" s="10"/>
      <c r="D78" s="10"/>
      <c r="E78" s="10"/>
      <c r="F78" s="10"/>
      <c r="G78" s="10"/>
    </row>
    <row r="79" spans="1:8" x14ac:dyDescent="0.25">
      <c r="A79" s="10" t="s">
        <v>57</v>
      </c>
      <c r="B79" s="198">
        <f>-B72</f>
        <v>827000000</v>
      </c>
      <c r="C79" s="10"/>
      <c r="D79" s="10"/>
      <c r="E79" s="10"/>
      <c r="F79" s="10"/>
      <c r="G79" s="10"/>
    </row>
    <row r="80" spans="1:8" x14ac:dyDescent="0.25">
      <c r="A80" s="10"/>
      <c r="B80" s="198">
        <f>+B78-B79</f>
        <v>-217663291.28702664</v>
      </c>
      <c r="C80" s="10"/>
      <c r="D80" s="10"/>
      <c r="E80" s="10"/>
      <c r="F80" s="10"/>
      <c r="G80" s="10"/>
    </row>
    <row r="81" spans="1:7" x14ac:dyDescent="0.25">
      <c r="B81" s="195"/>
    </row>
    <row r="82" spans="1:7" x14ac:dyDescent="0.25">
      <c r="B82" s="195"/>
    </row>
    <row r="83" spans="1:7" x14ac:dyDescent="0.25">
      <c r="A83" s="192" t="s">
        <v>166</v>
      </c>
      <c r="B83" s="196">
        <f t="shared" ref="B83:G83" si="7">+B70</f>
        <v>2017</v>
      </c>
      <c r="C83" s="66">
        <f t="shared" si="7"/>
        <v>2018</v>
      </c>
      <c r="D83" s="66">
        <f t="shared" si="7"/>
        <v>2019</v>
      </c>
      <c r="E83" s="66">
        <f t="shared" si="7"/>
        <v>2020</v>
      </c>
      <c r="F83" s="66">
        <f t="shared" si="7"/>
        <v>2021</v>
      </c>
      <c r="G83" s="66">
        <f t="shared" si="7"/>
        <v>2022</v>
      </c>
    </row>
    <row r="84" spans="1:7" x14ac:dyDescent="0.25">
      <c r="B84" s="195"/>
    </row>
    <row r="85" spans="1:7" x14ac:dyDescent="0.25">
      <c r="A85" s="10" t="s">
        <v>169</v>
      </c>
      <c r="B85" s="198">
        <f>+B11</f>
        <v>-827000000</v>
      </c>
      <c r="C85" s="12">
        <f>+C11</f>
        <v>79752659.398540527</v>
      </c>
      <c r="D85" s="12">
        <f>+D11</f>
        <v>86077807.543402344</v>
      </c>
      <c r="E85" s="12">
        <f>+E11</f>
        <v>94672312.960487843</v>
      </c>
      <c r="F85" s="12">
        <f>+F11</f>
        <v>103346371.61633359</v>
      </c>
      <c r="G85" s="12"/>
    </row>
    <row r="86" spans="1:7" x14ac:dyDescent="0.25">
      <c r="A86" s="10"/>
      <c r="B86" s="186"/>
      <c r="C86" s="10"/>
      <c r="D86" s="10"/>
      <c r="E86" s="10"/>
      <c r="F86" s="12">
        <f>+F47</f>
        <v>964139873.64595389</v>
      </c>
      <c r="G86" s="10"/>
    </row>
    <row r="87" spans="1:7" x14ac:dyDescent="0.25">
      <c r="A87" s="65" t="s">
        <v>175</v>
      </c>
      <c r="B87" s="203">
        <f>+SUM(B85:B86)</f>
        <v>-827000000</v>
      </c>
      <c r="C87" s="67">
        <f>+SUM(C85:C86)</f>
        <v>79752659.398540527</v>
      </c>
      <c r="D87" s="67">
        <f>+SUM(D85:D86)</f>
        <v>86077807.543402344</v>
      </c>
      <c r="E87" s="67">
        <f>+SUM(E85:E86)</f>
        <v>94672312.960487843</v>
      </c>
      <c r="F87" s="67">
        <f>+SUM(F85:F86)</f>
        <v>1067486245.2622875</v>
      </c>
      <c r="G87" s="65"/>
    </row>
    <row r="88" spans="1:7" x14ac:dyDescent="0.25">
      <c r="B88" s="195"/>
    </row>
    <row r="89" spans="1:7" x14ac:dyDescent="0.25">
      <c r="A89" s="10" t="s">
        <v>168</v>
      </c>
      <c r="B89" s="199">
        <f>+NPV(B48,C87:G87)+B87</f>
        <v>-29321375.677924991</v>
      </c>
      <c r="C89" s="187"/>
      <c r="D89" s="10"/>
      <c r="E89" s="10"/>
      <c r="F89" s="10"/>
      <c r="G89" s="10"/>
    </row>
    <row r="90" spans="1:7" x14ac:dyDescent="0.25">
      <c r="A90" s="10" t="s">
        <v>170</v>
      </c>
      <c r="B90" s="200">
        <f>+IRR(B87:G87)</f>
        <v>0.14201014848097038</v>
      </c>
      <c r="C90" s="10"/>
      <c r="D90" s="10"/>
      <c r="E90" s="10"/>
      <c r="F90" s="10"/>
      <c r="G90" s="10"/>
    </row>
    <row r="91" spans="1:7" x14ac:dyDescent="0.25">
      <c r="A91" s="10" t="s">
        <v>171</v>
      </c>
      <c r="B91" s="201">
        <f>+B93/B94</f>
        <v>0.96454489035317414</v>
      </c>
      <c r="C91" s="10"/>
      <c r="D91" s="10"/>
      <c r="E91" s="10"/>
      <c r="F91" s="10"/>
      <c r="G91" s="10"/>
    </row>
    <row r="92" spans="1:7" x14ac:dyDescent="0.25">
      <c r="A92" s="10" t="s">
        <v>173</v>
      </c>
      <c r="B92" s="186" t="s">
        <v>233</v>
      </c>
      <c r="C92" s="10"/>
      <c r="D92" s="10"/>
      <c r="E92" s="10"/>
      <c r="F92" s="10"/>
      <c r="G92" s="10"/>
    </row>
    <row r="93" spans="1:7" x14ac:dyDescent="0.25">
      <c r="A93" s="10" t="s">
        <v>172</v>
      </c>
      <c r="B93" s="199">
        <f>+NPV(B48,C87:G87)</f>
        <v>797678624.32207501</v>
      </c>
      <c r="C93" s="10"/>
      <c r="D93" s="10"/>
      <c r="E93" s="10"/>
      <c r="F93" s="10"/>
      <c r="G93" s="10"/>
    </row>
    <row r="94" spans="1:7" x14ac:dyDescent="0.25">
      <c r="A94" s="10" t="s">
        <v>57</v>
      </c>
      <c r="B94" s="198">
        <f>-B85</f>
        <v>827000000</v>
      </c>
      <c r="C94" s="10"/>
      <c r="D94" s="10"/>
      <c r="E94" s="10"/>
      <c r="F94" s="10"/>
      <c r="G94" s="10"/>
    </row>
    <row r="95" spans="1:7" x14ac:dyDescent="0.25">
      <c r="A95" s="10"/>
      <c r="B95" s="198">
        <f>+B93-B94</f>
        <v>-29321375.677924991</v>
      </c>
      <c r="C95" s="10"/>
      <c r="D95" s="10"/>
      <c r="E95" s="10"/>
      <c r="F95" s="10"/>
      <c r="G95" s="10"/>
    </row>
  </sheetData>
  <scenarios current="0" sqref="B18">
    <scenario name="conservador1" count="4" user="Rodrigo  Ramos Ramos" comment="Creado por Rodrigo  Ramos Ramos el 13/02/2017">
      <inputCells r="B32" val="0,2" numFmtId="9"/>
      <inputCells r="B37" val="0,035" numFmtId="9"/>
      <inputCells r="B41" val="0,1" numFmtId="9"/>
      <inputCells r="B43" val="0,1" numFmtId="9"/>
    </scenario>
  </scenarios>
  <pageMargins left="0.75" right="0.75" top="1" bottom="1" header="0.5" footer="0.5"/>
  <pageSetup orientation="portrait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25" workbookViewId="0">
      <selection activeCell="A25" sqref="A25"/>
    </sheetView>
  </sheetViews>
  <sheetFormatPr baseColWidth="10" defaultRowHeight="15.75" x14ac:dyDescent="0.25"/>
  <cols>
    <col min="1" max="1" width="35.625" customWidth="1"/>
    <col min="2" max="2" width="47.625" customWidth="1"/>
    <col min="4" max="4" width="6.125" customWidth="1"/>
    <col min="5" max="5" width="13.125" bestFit="1" customWidth="1"/>
    <col min="6" max="6" width="12.875" customWidth="1"/>
    <col min="7" max="7" width="13.125" bestFit="1" customWidth="1"/>
    <col min="8" max="9" width="13.5" customWidth="1"/>
  </cols>
  <sheetData>
    <row r="1" spans="1:9" ht="18" x14ac:dyDescent="0.35">
      <c r="A1" s="131" t="s">
        <v>194</v>
      </c>
      <c r="B1" s="132" t="s">
        <v>177</v>
      </c>
      <c r="C1" s="133" t="s">
        <v>195</v>
      </c>
      <c r="D1" s="134">
        <v>2017</v>
      </c>
      <c r="E1" s="134">
        <v>2018</v>
      </c>
      <c r="F1" s="135">
        <v>2019</v>
      </c>
      <c r="G1" s="134">
        <f>F1+1</f>
        <v>2020</v>
      </c>
      <c r="H1" s="134">
        <f t="shared" ref="H1:I1" si="0">G1+1</f>
        <v>2021</v>
      </c>
      <c r="I1" s="134">
        <f t="shared" si="0"/>
        <v>2022</v>
      </c>
    </row>
    <row r="2" spans="1:9" ht="16.5" x14ac:dyDescent="0.3">
      <c r="A2" s="178" t="s">
        <v>196</v>
      </c>
      <c r="B2" s="136" t="s">
        <v>197</v>
      </c>
      <c r="C2" s="137" t="s">
        <v>198</v>
      </c>
      <c r="D2" s="138"/>
      <c r="E2" s="138">
        <f>'ESTADO RESULT'!C21/'ESTADO DE SITUACION (BALANCE)'!C41</f>
        <v>8.0124233034152531E-2</v>
      </c>
      <c r="F2" s="138">
        <f>'ESTADO RESULT'!D21/'ESTADO DE SITUACION (BALANCE)'!D41</f>
        <v>8.7550433297719402E-2</v>
      </c>
      <c r="G2" s="138">
        <f>'ESTADO RESULT'!E21/'ESTADO DE SITUACION (BALANCE)'!E41</f>
        <v>9.7035406191016874E-2</v>
      </c>
      <c r="H2" s="138">
        <f>'ESTADO RESULT'!F21/'ESTADO DE SITUACION (BALANCE)'!F41</f>
        <v>0.1052575167655552</v>
      </c>
      <c r="I2" s="138">
        <f>'ESTADO RESULT'!G21/'ESTADO DE SITUACION (BALANCE)'!G41</f>
        <v>0.11234834222191949</v>
      </c>
    </row>
    <row r="3" spans="1:9" ht="16.5" x14ac:dyDescent="0.3">
      <c r="A3" s="178" t="s">
        <v>199</v>
      </c>
      <c r="B3" s="136" t="s">
        <v>200</v>
      </c>
      <c r="C3" s="137" t="s">
        <v>198</v>
      </c>
      <c r="D3" s="139"/>
      <c r="E3" s="138">
        <f>'ESTADO RESULT'!C19/('ESTADO DE SITUACION (BALANCE)'!C10+'ESTADO DE SITUACION (BALANCE)'!C16)</f>
        <v>7.6013655976194333E-2</v>
      </c>
      <c r="F3" s="138">
        <f>'ESTADO RESULT'!D19/('ESTADO DE SITUACION (BALANCE)'!D10+'ESTADO DE SITUACION (BALANCE)'!D16)</f>
        <v>7.5848247070667854E-2</v>
      </c>
      <c r="G3" s="138">
        <f>'ESTADO RESULT'!E19/('ESTADO DE SITUACION (BALANCE)'!E10+'ESTADO DE SITUACION (BALANCE)'!E16)</f>
        <v>7.9287584696967964E-2</v>
      </c>
      <c r="H3" s="138">
        <f>'ESTADO RESULT'!F19/('ESTADO DE SITUACION (BALANCE)'!F10+'ESTADO DE SITUACION (BALANCE)'!F16)</f>
        <v>8.1700524494846702E-2</v>
      </c>
      <c r="I3" s="138">
        <f>'ESTADO RESULT'!G19/('ESTADO DE SITUACION (BALANCE)'!G10+'ESTADO DE SITUACION (BALANCE)'!G16)</f>
        <v>8.3730531626889412E-2</v>
      </c>
    </row>
    <row r="4" spans="1:9" ht="16.5" x14ac:dyDescent="0.3">
      <c r="A4" s="178" t="s">
        <v>201</v>
      </c>
      <c r="B4" s="136" t="s">
        <v>202</v>
      </c>
      <c r="C4" s="137" t="s">
        <v>198</v>
      </c>
      <c r="D4" s="139"/>
      <c r="E4" s="138">
        <f>'ESTADO RESULT'!C8/'ESTADO RESULT'!C5</f>
        <v>0.69863151125401934</v>
      </c>
      <c r="F4" s="138">
        <f>'ESTADO RESULT'!D8/'ESTADO RESULT'!D5</f>
        <v>0.70885207865256394</v>
      </c>
      <c r="G4" s="138">
        <f>'ESTADO RESULT'!E8/'ESTADO RESULT'!E5</f>
        <v>0.7222786916083741</v>
      </c>
      <c r="H4" s="138">
        <f>'ESTADO RESULT'!F8/'ESTADO RESULT'!F5</f>
        <v>0.73440985410137849</v>
      </c>
      <c r="I4" s="138">
        <f>'ESTADO RESULT'!G8/'ESTADO RESULT'!G5</f>
        <v>0.74585158582036504</v>
      </c>
    </row>
    <row r="5" spans="1:9" ht="16.5" x14ac:dyDescent="0.3">
      <c r="A5" s="178" t="s">
        <v>203</v>
      </c>
      <c r="B5" s="136" t="s">
        <v>204</v>
      </c>
      <c r="C5" s="137" t="s">
        <v>198</v>
      </c>
      <c r="D5" s="138"/>
      <c r="E5" s="138">
        <f>'ESTADO RESULT'!C19/'ESTADO RESULT'!C5</f>
        <v>0.23195755627009645</v>
      </c>
      <c r="F5" s="138">
        <f>'ESTADO RESULT'!D19/'ESTADO RESULT'!D5</f>
        <v>0.24474923247097333</v>
      </c>
      <c r="G5" s="138">
        <f>'ESTADO RESULT'!E19/'ESTADO RESULT'!E5</f>
        <v>0.26684996240975289</v>
      </c>
      <c r="H5" s="138">
        <f>'ESTADO RESULT'!F19/'ESTADO RESULT'!F5</f>
        <v>0.28670018311125833</v>
      </c>
      <c r="I5" s="138">
        <f>'ESTADO RESULT'!G19/'ESTADO RESULT'!G5</f>
        <v>0.30571255244724133</v>
      </c>
    </row>
    <row r="6" spans="1:9" ht="16.5" x14ac:dyDescent="0.3">
      <c r="A6" s="178" t="s">
        <v>205</v>
      </c>
      <c r="B6" s="136" t="s">
        <v>206</v>
      </c>
      <c r="C6" s="137" t="s">
        <v>198</v>
      </c>
      <c r="D6" s="138"/>
      <c r="E6" s="138">
        <f>'ESTADO RESULT'!C21/'ESTADO RESULT'!C5</f>
        <v>0.2104208131742645</v>
      </c>
      <c r="F6" s="138">
        <f>'ESTADO RESULT'!D21/'ESTADO RESULT'!D5</f>
        <v>0.23112740968225501</v>
      </c>
      <c r="G6" s="138">
        <f>'ESTADO RESULT'!E21/'ESTADO RESULT'!E5</f>
        <v>0.25601497615870644</v>
      </c>
      <c r="H6" s="138">
        <f>'ESTADO RESULT'!F21/'ESTADO RESULT'!F5</f>
        <v>0.27972637510218401</v>
      </c>
      <c r="I6" s="138">
        <f>'ESTADO RESULT'!G21/'ESTADO RESULT'!G5</f>
        <v>0.30228571856334813</v>
      </c>
    </row>
    <row r="7" spans="1:9" ht="16.5" x14ac:dyDescent="0.3">
      <c r="A7" s="178" t="s">
        <v>207</v>
      </c>
      <c r="B7" s="136" t="s">
        <v>208</v>
      </c>
      <c r="C7" s="137" t="s">
        <v>198</v>
      </c>
      <c r="D7" s="138"/>
      <c r="E7" s="138">
        <f>'ESTADO RESULT'!C23/'ESTADO RESULT'!C5</f>
        <v>0.14098194482675722</v>
      </c>
      <c r="F7" s="138">
        <f>'ESTADO RESULT'!D23/'ESTADO RESULT'!D5</f>
        <v>0.15485536448711085</v>
      </c>
      <c r="G7" s="138">
        <f>'ESTADO RESULT'!E23/'ESTADO RESULT'!E5</f>
        <v>0.17153003402633329</v>
      </c>
      <c r="H7" s="138">
        <f>'ESTADO RESULT'!F23/'ESTADO RESULT'!F5</f>
        <v>0.18741667131846326</v>
      </c>
      <c r="I7" s="138">
        <f>'ESTADO RESULT'!G23/'ESTADO RESULT'!G5</f>
        <v>0.20253143143744326</v>
      </c>
    </row>
    <row r="8" spans="1:9" ht="16.5" x14ac:dyDescent="0.3">
      <c r="A8" s="178" t="s">
        <v>210</v>
      </c>
      <c r="B8" s="140" t="s">
        <v>211</v>
      </c>
      <c r="C8" s="137" t="s">
        <v>209</v>
      </c>
      <c r="D8" s="139"/>
      <c r="E8" s="139">
        <f>'ESTADO RESULT'!C9/'ESTADO RESULT'!C5</f>
        <v>0.46667395498392283</v>
      </c>
      <c r="F8" s="139">
        <f>'ESTADO RESULT'!D9/'ESTADO RESULT'!D5</f>
        <v>0.46410284618159064</v>
      </c>
      <c r="G8" s="139">
        <f>'ESTADO RESULT'!E9/'ESTADO RESULT'!E5</f>
        <v>0.45542872919862115</v>
      </c>
      <c r="H8" s="139">
        <f>'ESTADO RESULT'!F9/'ESTADO RESULT'!F5</f>
        <v>0.44770967099012016</v>
      </c>
      <c r="I8" s="139">
        <f>'ESTADO RESULT'!G9/'ESTADO RESULT'!G5</f>
        <v>0.44013903337312371</v>
      </c>
    </row>
    <row r="9" spans="1:9" ht="16.5" x14ac:dyDescent="0.3">
      <c r="A9" s="178" t="s">
        <v>32</v>
      </c>
      <c r="B9" s="136" t="s">
        <v>212</v>
      </c>
      <c r="C9" s="137" t="s">
        <v>198</v>
      </c>
      <c r="D9" s="141"/>
      <c r="E9" s="141">
        <f>'ESTADO RESULT'!C19+DEPRECIACIONES!C12</f>
        <v>102338800</v>
      </c>
      <c r="F9" s="141">
        <f>'ESTADO RESULT'!D19+DEPRECIACIONES!D12</f>
        <v>110638935.19999999</v>
      </c>
      <c r="G9" s="141">
        <f>'ESTADO RESULT'!E19+DEPRECIACIONES!E12</f>
        <v>124056616.22899991</v>
      </c>
      <c r="H9" s="141">
        <f>'ESTADO RESULT'!F19+DEPRECIACIONES!F12</f>
        <v>137906446.62462699</v>
      </c>
      <c r="I9" s="141">
        <f>'ESTADO RESULT'!G19+DEPRECIACIONES!G12</f>
        <v>152871303.48098448</v>
      </c>
    </row>
    <row r="10" spans="1:9" ht="16.5" x14ac:dyDescent="0.3">
      <c r="A10" s="178" t="s">
        <v>213</v>
      </c>
      <c r="B10" s="136" t="s">
        <v>214</v>
      </c>
      <c r="C10" s="137" t="s">
        <v>198</v>
      </c>
      <c r="D10" s="138"/>
      <c r="E10" s="138">
        <f>E9/'ESTADO RESULT'!C5</f>
        <v>0.32906366559485528</v>
      </c>
      <c r="F10" s="138">
        <f>F9/'ESTADO RESULT'!D5</f>
        <v>0.33663790307862945</v>
      </c>
      <c r="G10" s="138">
        <f>G9/'ESTADO RESULT'!E5</f>
        <v>0.35271358277628917</v>
      </c>
      <c r="H10" s="138">
        <f>H9/'ESTADO RESULT'!F5</f>
        <v>0.36708855169364807</v>
      </c>
      <c r="I10" s="138">
        <f>I9/'ESTADO RESULT'!G5</f>
        <v>0.38097480875266843</v>
      </c>
    </row>
    <row r="11" spans="1:9" hidden="1" x14ac:dyDescent="0.25">
      <c r="A11" s="179" t="s">
        <v>221</v>
      </c>
      <c r="B11" s="151" t="s">
        <v>222</v>
      </c>
      <c r="C11" s="137" t="str">
        <f>C10</f>
        <v>↑</v>
      </c>
      <c r="D11" s="150"/>
      <c r="E11" s="150" t="e">
        <f>'FLUJO DE CAJA LIBRE'!#REF!/'ESTADO RESULT'!C5*-1</f>
        <v>#REF!</v>
      </c>
      <c r="F11" s="150" t="e">
        <f>'FLUJO DE CAJA LIBRE'!#REF!/'ESTADO RESULT'!D5*-1</f>
        <v>#REF!</v>
      </c>
      <c r="G11" s="150" t="e">
        <f>'FLUJO DE CAJA LIBRE'!#REF!/'ESTADO RESULT'!E5*-1</f>
        <v>#REF!</v>
      </c>
      <c r="H11" s="150" t="e">
        <f>'FLUJO DE CAJA LIBRE'!#REF!/'ESTADO RESULT'!F5*-1</f>
        <v>#REF!</v>
      </c>
      <c r="I11" s="150" t="e">
        <f>'FLUJO DE CAJA LIBRE'!#REF!/'ESTADO RESULT'!G5*-1</f>
        <v>#REF!</v>
      </c>
    </row>
    <row r="12" spans="1:9" ht="17.25" hidden="1" thickBot="1" x14ac:dyDescent="0.35">
      <c r="A12" s="180" t="s">
        <v>215</v>
      </c>
      <c r="B12" s="142" t="s">
        <v>216</v>
      </c>
      <c r="C12" s="143" t="s">
        <v>198</v>
      </c>
      <c r="D12" s="144"/>
      <c r="E12" s="144" t="e">
        <f>E10/E11</f>
        <v>#REF!</v>
      </c>
      <c r="F12" s="144" t="e">
        <f t="shared" ref="F12:I12" si="1">F10/F11</f>
        <v>#REF!</v>
      </c>
      <c r="G12" s="144" t="e">
        <f t="shared" si="1"/>
        <v>#REF!</v>
      </c>
      <c r="H12" s="144" t="e">
        <f t="shared" si="1"/>
        <v>#REF!</v>
      </c>
      <c r="I12" s="144" t="e">
        <f t="shared" si="1"/>
        <v>#REF!</v>
      </c>
    </row>
    <row r="13" spans="1:9" ht="16.5" x14ac:dyDescent="0.3">
      <c r="A13" s="145"/>
      <c r="B13" s="146"/>
      <c r="C13" s="145"/>
      <c r="D13" s="145"/>
      <c r="E13" s="145"/>
      <c r="F13" s="145"/>
    </row>
    <row r="14" spans="1:9" ht="16.5" customHeight="1" x14ac:dyDescent="0.25">
      <c r="A14" s="210" t="s">
        <v>219</v>
      </c>
      <c r="B14" s="210"/>
      <c r="C14" s="210"/>
      <c r="D14" s="210"/>
      <c r="E14" s="210"/>
      <c r="F14" s="210"/>
    </row>
    <row r="15" spans="1:9" ht="17.25" thickBot="1" x14ac:dyDescent="0.35">
      <c r="A15" s="145"/>
      <c r="B15" s="146"/>
      <c r="C15" s="145"/>
      <c r="D15" s="145"/>
      <c r="E15" s="145"/>
      <c r="F15" s="146"/>
    </row>
    <row r="16" spans="1:9" ht="18" x14ac:dyDescent="0.3">
      <c r="A16" s="147" t="s">
        <v>217</v>
      </c>
      <c r="B16" s="204" t="s">
        <v>220</v>
      </c>
      <c r="C16" s="205"/>
      <c r="D16" s="134">
        <v>2017</v>
      </c>
      <c r="E16" s="134">
        <v>2018</v>
      </c>
      <c r="F16" s="135">
        <f>E16+1</f>
        <v>2019</v>
      </c>
      <c r="G16" s="135">
        <f t="shared" ref="G16:I16" si="2">F16+1</f>
        <v>2020</v>
      </c>
      <c r="H16" s="135">
        <f t="shared" si="2"/>
        <v>2021</v>
      </c>
      <c r="I16" s="135">
        <f t="shared" si="2"/>
        <v>2022</v>
      </c>
    </row>
    <row r="17" spans="1:9" x14ac:dyDescent="0.25">
      <c r="A17" s="178" t="str">
        <f>+A2</f>
        <v>ROE</v>
      </c>
      <c r="B17" s="206"/>
      <c r="C17" s="207"/>
      <c r="D17" s="148">
        <f t="shared" ref="D17:I18" si="3">+D2</f>
        <v>0</v>
      </c>
      <c r="E17" s="148">
        <f t="shared" si="3"/>
        <v>8.0124233034152531E-2</v>
      </c>
      <c r="F17" s="148">
        <f t="shared" si="3"/>
        <v>8.7550433297719402E-2</v>
      </c>
      <c r="G17" s="148">
        <f t="shared" si="3"/>
        <v>9.7035406191016874E-2</v>
      </c>
      <c r="H17" s="148">
        <f t="shared" si="3"/>
        <v>0.1052575167655552</v>
      </c>
      <c r="I17" s="148">
        <f t="shared" si="3"/>
        <v>0.11234834222191949</v>
      </c>
    </row>
    <row r="18" spans="1:9" x14ac:dyDescent="0.25">
      <c r="A18" s="178" t="str">
        <f t="shared" ref="A18" si="4">+A3</f>
        <v>ROI</v>
      </c>
      <c r="B18" s="206"/>
      <c r="C18" s="207"/>
      <c r="D18" s="148">
        <f t="shared" si="3"/>
        <v>0</v>
      </c>
      <c r="E18" s="148">
        <f t="shared" si="3"/>
        <v>7.6013655976194333E-2</v>
      </c>
      <c r="F18" s="148">
        <f t="shared" si="3"/>
        <v>7.5848247070667854E-2</v>
      </c>
      <c r="G18" s="148">
        <f t="shared" si="3"/>
        <v>7.9287584696967964E-2</v>
      </c>
      <c r="H18" s="148">
        <f t="shared" si="3"/>
        <v>8.1700524494846702E-2</v>
      </c>
      <c r="I18" s="148">
        <f t="shared" si="3"/>
        <v>8.3730531626889412E-2</v>
      </c>
    </row>
    <row r="19" spans="1:9" ht="16.5" thickBot="1" x14ac:dyDescent="0.3">
      <c r="A19" s="180" t="s">
        <v>218</v>
      </c>
      <c r="B19" s="208"/>
      <c r="C19" s="209"/>
      <c r="D19" s="149">
        <v>0</v>
      </c>
      <c r="E19" s="149">
        <f>'V. ENTRADA'!B30</f>
        <v>0.12380000000000001</v>
      </c>
      <c r="F19" s="149">
        <f>'V. ENTRADA'!C30</f>
        <v>9.8069565217391311E-2</v>
      </c>
      <c r="G19" s="149">
        <f>'V. ENTRADA'!D30</f>
        <v>0.10649043478260869</v>
      </c>
      <c r="H19" s="149">
        <f>'V. ENTRADA'!E30</f>
        <v>0.1046191304347826</v>
      </c>
      <c r="I19" s="149">
        <f>'V. ENTRADA'!F30</f>
        <v>0.1046191304347826</v>
      </c>
    </row>
  </sheetData>
  <mergeCells count="2">
    <mergeCell ref="B16:C19"/>
    <mergeCell ref="A14:F14"/>
  </mergeCell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91" zoomScaleNormal="91" zoomScalePageLayoutView="91" workbookViewId="0">
      <selection activeCell="L8" sqref="L8"/>
    </sheetView>
  </sheetViews>
  <sheetFormatPr baseColWidth="10" defaultRowHeight="15.75" x14ac:dyDescent="0.25"/>
  <cols>
    <col min="1" max="1" width="13.125" bestFit="1" customWidth="1"/>
    <col min="2" max="2" width="16" bestFit="1" customWidth="1"/>
    <col min="3" max="3" width="15.125" customWidth="1"/>
    <col min="4" max="4" width="16.375" customWidth="1"/>
    <col min="5" max="8" width="15.5" bestFit="1" customWidth="1"/>
  </cols>
  <sheetData>
    <row r="1" spans="1:13" x14ac:dyDescent="0.25">
      <c r="A1" s="168" t="s">
        <v>151</v>
      </c>
      <c r="D1" s="183">
        <f>+'FLUJO TESORERÍA'!B4</f>
        <v>2017</v>
      </c>
      <c r="E1" s="183">
        <f>+'FLUJO TESORERÍA'!C4</f>
        <v>2018</v>
      </c>
      <c r="F1" s="183">
        <f>+'FLUJO TESORERÍA'!D4</f>
        <v>2019</v>
      </c>
      <c r="G1" s="183">
        <f>+'FLUJO TESORERÍA'!E4</f>
        <v>2020</v>
      </c>
      <c r="H1" s="183">
        <f>+'FLUJO TESORERÍA'!F4</f>
        <v>2021</v>
      </c>
      <c r="I1" s="14">
        <f>+'FLUJO TESORERÍA'!G4</f>
        <v>2022</v>
      </c>
      <c r="J1" s="14">
        <v>2022</v>
      </c>
      <c r="K1" s="14">
        <v>2023</v>
      </c>
      <c r="L1" s="14">
        <v>2024</v>
      </c>
      <c r="M1" s="14">
        <v>2025</v>
      </c>
    </row>
    <row r="2" spans="1:13" x14ac:dyDescent="0.25">
      <c r="A2" t="s">
        <v>19</v>
      </c>
      <c r="B2" s="2">
        <f>+PRESUPUESTOS!H54</f>
        <v>54102803.738317728</v>
      </c>
      <c r="C2" s="183" t="s">
        <v>20</v>
      </c>
      <c r="D2" s="20">
        <f>+'V. ENTRADA'!B30</f>
        <v>0.12380000000000001</v>
      </c>
      <c r="E2" s="20">
        <f>+'V. ENTRADA'!C30</f>
        <v>9.8069565217391311E-2</v>
      </c>
      <c r="F2" s="20">
        <f>+'V. ENTRADA'!D30</f>
        <v>0.10649043478260869</v>
      </c>
      <c r="G2" s="20">
        <f>+'V. ENTRADA'!E30</f>
        <v>0.1046191304347826</v>
      </c>
      <c r="H2" s="44">
        <f>+'V. ENTRADA'!F30</f>
        <v>0.1046191304347826</v>
      </c>
      <c r="I2" s="20">
        <f>+'V. ENTRADA'!G30</f>
        <v>0.1046191304347826</v>
      </c>
      <c r="J2" s="20">
        <f>+I2</f>
        <v>0.1046191304347826</v>
      </c>
      <c r="K2" s="20">
        <f t="shared" ref="K2:L2" si="0">+J2</f>
        <v>0.1046191304347826</v>
      </c>
      <c r="L2" s="20">
        <f t="shared" si="0"/>
        <v>0.1046191304347826</v>
      </c>
      <c r="M2" s="20">
        <f>+L2</f>
        <v>0.1046191304347826</v>
      </c>
    </row>
    <row r="3" spans="1:13" x14ac:dyDescent="0.25">
      <c r="A3" t="s">
        <v>21</v>
      </c>
      <c r="B3">
        <v>5</v>
      </c>
      <c r="C3" s="183" t="s">
        <v>22</v>
      </c>
      <c r="D3" s="43">
        <f>+PMT(D2,B3,B2)</f>
        <v>-15150187.527018096</v>
      </c>
      <c r="E3" s="26">
        <f>+PMT(E2,4,E8)</f>
        <v>-14341278.315451674</v>
      </c>
      <c r="F3" s="26">
        <f>+PMT(F2,3,E9)</f>
        <v>-14554873.839232381</v>
      </c>
      <c r="G3" s="26">
        <f>+PMT(G2,2,E10)</f>
        <v>-14518582.467656132</v>
      </c>
      <c r="H3" s="45">
        <f>+PMT(H2,1,E11)</f>
        <v>-14518582.467656139</v>
      </c>
      <c r="I3" s="6"/>
      <c r="J3" s="6"/>
      <c r="K3" s="6"/>
      <c r="L3" s="6"/>
      <c r="M3" s="6"/>
    </row>
    <row r="4" spans="1:13" x14ac:dyDescent="0.25">
      <c r="A4" t="s">
        <v>22</v>
      </c>
    </row>
    <row r="6" spans="1:13" x14ac:dyDescent="0.25">
      <c r="A6" s="185" t="s">
        <v>23</v>
      </c>
      <c r="B6" s="185" t="s">
        <v>24</v>
      </c>
      <c r="C6" s="185" t="s">
        <v>25</v>
      </c>
      <c r="D6" s="185" t="s">
        <v>26</v>
      </c>
      <c r="E6" s="185" t="s">
        <v>27</v>
      </c>
    </row>
    <row r="7" spans="1:13" x14ac:dyDescent="0.25">
      <c r="A7" s="4">
        <v>2017</v>
      </c>
      <c r="B7" s="184"/>
      <c r="C7" s="184"/>
      <c r="D7" s="184"/>
      <c r="E7" s="184">
        <f>+B2</f>
        <v>54102803.738317728</v>
      </c>
    </row>
    <row r="8" spans="1:13" x14ac:dyDescent="0.25">
      <c r="A8" s="4">
        <f>+A7+1</f>
        <v>2018</v>
      </c>
      <c r="B8" s="184">
        <f>+D3*-1</f>
        <v>15150187.527018096</v>
      </c>
      <c r="C8" s="184">
        <f>+E7*$D$2</f>
        <v>6697927.1028037351</v>
      </c>
      <c r="D8" s="184">
        <f>+B8-C8</f>
        <v>8452260.4242143612</v>
      </c>
      <c r="E8" s="184">
        <f>+E7-D8</f>
        <v>45650543.314103365</v>
      </c>
    </row>
    <row r="9" spans="1:13" x14ac:dyDescent="0.25">
      <c r="A9" s="4">
        <f t="shared" ref="A9:A12" si="1">+A8+1</f>
        <v>2019</v>
      </c>
      <c r="B9" s="184">
        <f>-E3</f>
        <v>14341278.315451674</v>
      </c>
      <c r="C9" s="184">
        <f>+E8*$E$2</f>
        <v>4476928.9347518068</v>
      </c>
      <c r="D9" s="184">
        <f t="shared" ref="D9:D12" si="2">+B9-C9</f>
        <v>9864349.3806998674</v>
      </c>
      <c r="E9" s="184">
        <f t="shared" ref="E9:E12" si="3">+E8-D9</f>
        <v>35786193.933403499</v>
      </c>
    </row>
    <row r="10" spans="1:13" x14ac:dyDescent="0.25">
      <c r="A10" s="4">
        <f t="shared" si="1"/>
        <v>2020</v>
      </c>
      <c r="B10" s="184">
        <f>-F3</f>
        <v>14554873.839232381</v>
      </c>
      <c r="C10" s="184">
        <f>+E9*$F$2</f>
        <v>3810887.3511828925</v>
      </c>
      <c r="D10" s="184">
        <f t="shared" si="2"/>
        <v>10743986.488049489</v>
      </c>
      <c r="E10" s="184">
        <f t="shared" si="3"/>
        <v>25042207.445354011</v>
      </c>
    </row>
    <row r="11" spans="1:13" x14ac:dyDescent="0.25">
      <c r="A11" s="4">
        <f t="shared" si="1"/>
        <v>2021</v>
      </c>
      <c r="B11" s="184">
        <f>-G3</f>
        <v>14518582.467656132</v>
      </c>
      <c r="C11" s="184">
        <f>+E10*$G$2</f>
        <v>2619893.9671003753</v>
      </c>
      <c r="D11" s="184">
        <f t="shared" si="2"/>
        <v>11898688.500555757</v>
      </c>
      <c r="E11" s="184">
        <f t="shared" si="3"/>
        <v>13143518.944798253</v>
      </c>
    </row>
    <row r="12" spans="1:13" x14ac:dyDescent="0.25">
      <c r="A12" s="4">
        <f t="shared" si="1"/>
        <v>2022</v>
      </c>
      <c r="B12" s="184">
        <f>-H3</f>
        <v>14518582.467656139</v>
      </c>
      <c r="C12" s="184">
        <f>+E11*$H$2</f>
        <v>1375063.5228578846</v>
      </c>
      <c r="D12" s="184">
        <f t="shared" si="2"/>
        <v>13143518.944798255</v>
      </c>
      <c r="E12" s="184">
        <f t="shared" si="3"/>
        <v>0</v>
      </c>
    </row>
    <row r="15" spans="1:13" hidden="1" x14ac:dyDescent="0.25"/>
    <row r="16" spans="1:13" hidden="1" x14ac:dyDescent="0.25">
      <c r="A16" s="24" t="s">
        <v>150</v>
      </c>
      <c r="C16" s="3"/>
    </row>
    <row r="17" spans="1:5" hidden="1" x14ac:dyDescent="0.25">
      <c r="C17" s="3"/>
    </row>
    <row r="18" spans="1:5" hidden="1" x14ac:dyDescent="0.25">
      <c r="A18" t="s">
        <v>19</v>
      </c>
      <c r="B18" s="2">
        <f>+PRESUPUESTOS!L54</f>
        <v>0</v>
      </c>
      <c r="D18" s="25">
        <f>+PMT(H2,5,B18)</f>
        <v>0</v>
      </c>
      <c r="E18" s="25">
        <f>+PMT(I2,4,E24)</f>
        <v>0</v>
      </c>
    </row>
    <row r="19" spans="1:5" hidden="1" x14ac:dyDescent="0.25"/>
    <row r="20" spans="1:5" hidden="1" x14ac:dyDescent="0.25"/>
    <row r="21" spans="1:5" hidden="1" x14ac:dyDescent="0.25"/>
    <row r="22" spans="1:5" hidden="1" x14ac:dyDescent="0.25">
      <c r="A22" s="14" t="s">
        <v>23</v>
      </c>
      <c r="B22" s="14" t="s">
        <v>24</v>
      </c>
      <c r="C22" s="14" t="s">
        <v>25</v>
      </c>
      <c r="D22" s="14" t="s">
        <v>26</v>
      </c>
      <c r="E22" s="14" t="s">
        <v>27</v>
      </c>
    </row>
    <row r="23" spans="1:5" hidden="1" x14ac:dyDescent="0.25">
      <c r="A23" s="6">
        <v>2020</v>
      </c>
      <c r="B23" s="5"/>
      <c r="C23" s="5"/>
      <c r="D23" s="5"/>
      <c r="E23" s="5">
        <f>+B18</f>
        <v>0</v>
      </c>
    </row>
    <row r="24" spans="1:5" hidden="1" x14ac:dyDescent="0.25">
      <c r="A24" s="6">
        <f>+A23+1</f>
        <v>2021</v>
      </c>
      <c r="B24" s="27">
        <f>-D18</f>
        <v>0</v>
      </c>
      <c r="C24" s="5">
        <f>+E23*I2</f>
        <v>0</v>
      </c>
      <c r="D24" s="5">
        <f>+B24-C24</f>
        <v>0</v>
      </c>
      <c r="E24" s="5">
        <f>+E23-D24</f>
        <v>0</v>
      </c>
    </row>
    <row r="25" spans="1:5" hidden="1" x14ac:dyDescent="0.25">
      <c r="A25" s="6">
        <f t="shared" ref="A25:A28" si="4">+A24+1</f>
        <v>2022</v>
      </c>
      <c r="B25" s="27">
        <f>-E18</f>
        <v>0</v>
      </c>
      <c r="C25" s="5">
        <f>+E24*$J$2</f>
        <v>0</v>
      </c>
      <c r="D25" s="5">
        <f t="shared" ref="D25:D28" si="5">+B25-C25</f>
        <v>0</v>
      </c>
      <c r="E25" s="5">
        <f t="shared" ref="E25:E28" si="6">+E24-D25</f>
        <v>0</v>
      </c>
    </row>
    <row r="26" spans="1:5" hidden="1" x14ac:dyDescent="0.25">
      <c r="A26" s="6">
        <f t="shared" si="4"/>
        <v>2023</v>
      </c>
      <c r="B26" s="27">
        <f>+B25</f>
        <v>0</v>
      </c>
      <c r="C26" s="5">
        <f>+E25*$K$2</f>
        <v>0</v>
      </c>
      <c r="D26" s="5">
        <f t="shared" si="5"/>
        <v>0</v>
      </c>
      <c r="E26" s="5">
        <f t="shared" si="6"/>
        <v>0</v>
      </c>
    </row>
    <row r="27" spans="1:5" hidden="1" x14ac:dyDescent="0.25">
      <c r="A27" s="6">
        <f t="shared" si="4"/>
        <v>2024</v>
      </c>
      <c r="B27" s="27">
        <f>+B26</f>
        <v>0</v>
      </c>
      <c r="C27" s="5">
        <f>+E26*$L$2</f>
        <v>0</v>
      </c>
      <c r="D27" s="5">
        <f t="shared" si="5"/>
        <v>0</v>
      </c>
      <c r="E27" s="5">
        <f t="shared" si="6"/>
        <v>0</v>
      </c>
    </row>
    <row r="28" spans="1:5" hidden="1" x14ac:dyDescent="0.25">
      <c r="A28" s="6">
        <f t="shared" si="4"/>
        <v>2025</v>
      </c>
      <c r="B28" s="27">
        <f>+B27</f>
        <v>0</v>
      </c>
      <c r="C28" s="5">
        <f>+E27*$M$2</f>
        <v>0</v>
      </c>
      <c r="D28" s="5">
        <f t="shared" si="5"/>
        <v>0</v>
      </c>
      <c r="E28" s="5">
        <f t="shared" si="6"/>
        <v>0</v>
      </c>
    </row>
    <row r="29" spans="1:5" hidden="1" x14ac:dyDescent="0.25"/>
    <row r="30" spans="1:5" hidden="1" x14ac:dyDescent="0.25"/>
    <row r="31" spans="1:5" hidden="1" x14ac:dyDescent="0.25"/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V. ENTRADA</vt:lpstr>
      <vt:lpstr>DEPRECIACIONES</vt:lpstr>
      <vt:lpstr>PRESUPUESTOS</vt:lpstr>
      <vt:lpstr>ESTADO RESULT</vt:lpstr>
      <vt:lpstr>FLUJO TESORERÍA</vt:lpstr>
      <vt:lpstr>ESTADO DE SITUACION (BALANCE)</vt:lpstr>
      <vt:lpstr>FLUJO DE CAJA LIBRE</vt:lpstr>
      <vt:lpstr>DESEMPEÑO OPERATIVO</vt:lpstr>
      <vt:lpstr>TABLA AMORT</vt:lpstr>
      <vt:lpstr>WACC</vt:lpstr>
      <vt:lpstr>Hoja1</vt:lpstr>
      <vt:lpstr>Hoja2</vt:lpstr>
      <vt:lpstr>COMISIONES</vt:lpstr>
      <vt:lpstr>CRECIMIENTOVENTAS</vt:lpstr>
      <vt:lpstr>OTROSCOSTOSVENTAS</vt:lpstr>
      <vt:lpstr>OTROSGASTOS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 Ramos Ramos</dc:creator>
  <cp:lastModifiedBy>PC 5</cp:lastModifiedBy>
  <dcterms:created xsi:type="dcterms:W3CDTF">2017-02-06T01:01:50Z</dcterms:created>
  <dcterms:modified xsi:type="dcterms:W3CDTF">2018-02-02T21:05:09Z</dcterms:modified>
</cp:coreProperties>
</file>